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ables/table4.xml" ContentType="application/vnd.openxmlformats-officedocument.spreadsheetml.table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ueil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Personnes" sheetId="4" state="visible" r:id="rId4"/>
    <sheet xmlns:r="http://schemas.openxmlformats.org/officeDocument/2006/relationships" name="Projets" sheetId="5" state="visible" r:id="rId5"/>
    <sheet xmlns:r="http://schemas.openxmlformats.org/officeDocument/2006/relationships" name="Charges" sheetId="6" state="visible" r:id="rId6"/>
    <sheet xmlns:r="http://schemas.openxmlformats.org/officeDocument/2006/relationships" name="Capacité" sheetId="7" state="visible" r:id="rId7"/>
    <sheet xmlns:r="http://schemas.openxmlformats.org/officeDocument/2006/relationships" name="Plan de charge (équipe)" sheetId="8" state="visible" r:id="rId8"/>
    <sheet xmlns:r="http://schemas.openxmlformats.org/officeDocument/2006/relationships" name="Planning par personne" sheetId="9" state="visible" r:id="rId9"/>
    <sheet xmlns:r="http://schemas.openxmlformats.org/officeDocument/2006/relationships" name="Scénarios" sheetId="10" state="visible" r:id="rId10"/>
    <sheet xmlns:r="http://schemas.openxmlformats.org/officeDocument/2006/relationships" name="Dépendances" sheetId="11" state="visible" r:id="rId11"/>
    <sheet xmlns:r="http://schemas.openxmlformats.org/officeDocument/2006/relationships" name="Décision" sheetId="12" state="visible" r:id="rId12"/>
    <sheet xmlns:r="http://schemas.openxmlformats.org/officeDocument/2006/relationships" name="Restitution" sheetId="13" state="visible" r:id="rId13"/>
    <sheet xmlns:r="http://schemas.openxmlformats.org/officeDocument/2006/relationships" name="Contrôles" sheetId="14" state="visible" r:id="rId14"/>
    <sheet xmlns:r="http://schemas.openxmlformats.org/officeDocument/2006/relationships" name="Calculs" sheetId="15" state="hidden" r:id="rId15"/>
  </sheets>
  <definedNames>
    <definedName name="Equipes">'Paramètres'!$F$8:$F$27</definedName>
    <definedName name="Personnes">'Personnes'!$A$8:$A$47</definedName>
    <definedName name="Projets">'Projets'!$A$8:$A$67</definedName>
    <definedName name="_xlnm.Print_Titles" localSheetId="0">'Accueil'!$1:$7</definedName>
    <definedName name="_xlnm.Print_Area" localSheetId="0">'Accueil'!$A$1:$L$40</definedName>
    <definedName name="_xlnm.Print_Titles" localSheetId="1">'Synthèse'!$1:$7</definedName>
    <definedName name="_xlnm.Print_Area" localSheetId="1">'Synthèse'!$A$1:$L$40</definedName>
    <definedName name="_xlnm.Print_Titles" localSheetId="2">'Paramètres'!$1:$7</definedName>
    <definedName name="_xlnm.Print_Area" localSheetId="2">'Paramètres'!$A$1:$L$45</definedName>
    <definedName name="_xlnm.Print_Titles" localSheetId="3">'Personnes'!$1:$7</definedName>
    <definedName name="_xlnm.Print_Area" localSheetId="3">'Personnes'!$A$1:$J$45</definedName>
    <definedName name="_xlnm.Print_Titles" localSheetId="4">'Projets'!$1:$7</definedName>
    <definedName name="_xlnm.Print_Area" localSheetId="4">'Projets'!$A$1:$L$45</definedName>
    <definedName name="_xlnm.Print_Titles" localSheetId="5">'Charges'!$1:$7</definedName>
    <definedName name="_xlnm.Print_Area" localSheetId="5">'Charges'!$A$1:$S$45</definedName>
    <definedName name="_xlnm.Print_Titles" localSheetId="6">'Capacité'!$1:$7</definedName>
    <definedName name="_xlnm.Print_Area" localSheetId="6">'Capacité'!$A$1:$O$22</definedName>
    <definedName name="_xlnm.Print_Titles" localSheetId="7">'Plan de charge (équipe)'!$1:$7</definedName>
    <definedName name="_xlnm.Print_Area" localSheetId="7">'Plan de charge (équipe)'!$A$1:$O$77</definedName>
    <definedName name="_xlnm.Print_Titles" localSheetId="8">'Planning par personne'!$1:$7</definedName>
    <definedName name="_xlnm.Print_Area" localSheetId="8">'Planning par personne'!$A$1:$O$137</definedName>
    <definedName name="_xlnm.Print_Titles" localSheetId="9">'Scénarios'!$1:$7</definedName>
    <definedName name="_xlnm.Print_Area" localSheetId="9">'Scénarios'!$A$1:$L$32</definedName>
    <definedName name="_xlnm.Print_Titles" localSheetId="10">'Dépendances'!$1:$7</definedName>
    <definedName name="_xlnm.Print_Area" localSheetId="10">'Dépendances'!$A$1:$L$45</definedName>
    <definedName name="_xlnm.Print_Titles" localSheetId="11">'Décision'!$1:$7</definedName>
    <definedName name="_xlnm.Print_Area" localSheetId="11">'Décision'!$A$1:$L$29</definedName>
    <definedName name="_xlnm.Print_Titles" localSheetId="12">'Restitution'!$1:$7</definedName>
    <definedName name="_xlnm.Print_Area" localSheetId="12">'Restitution'!$A$1:$L$37</definedName>
    <definedName name="_xlnm.Print_Titles" localSheetId="13">'Contrôles'!$1:$7</definedName>
    <definedName name="_xlnm.Print_Area" localSheetId="13">'Contrôles'!$A$1:$L$45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/mm/yyyy"/>
    <numFmt numFmtId="166" formatCode="0.0"/>
    <numFmt numFmtId="167" formatCode="dd mmm"/>
    <numFmt numFmtId="168" formatCode="0.0&quot; j&quot;"/>
    <numFmt numFmtId="169" formatCode="dd mmmm yyyy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color rgb="0061728C"/>
      <sz val="11"/>
    </font>
    <font>
      <name val="Arial"/>
      <b val="1"/>
      <color rgb="004353E8"/>
      <sz val="9"/>
    </font>
    <font>
      <name val="Arial"/>
      <b val="1"/>
      <color rgb="00283956"/>
      <sz val="11"/>
    </font>
    <font>
      <name val="Arial"/>
      <color rgb="00283956"/>
      <sz val="11"/>
    </font>
    <font>
      <name val="Arial"/>
      <color rgb="004353E8"/>
      <sz val="11"/>
    </font>
    <font>
      <name val="Arial"/>
      <b val="1"/>
      <color rgb="00FFFFFF"/>
      <sz val="10"/>
    </font>
    <font>
      <name val="Arial"/>
      <b val="1"/>
      <color rgb="0061728C"/>
      <sz val="10"/>
    </font>
    <font>
      <name val="Arial"/>
      <b val="1"/>
      <color rgb="004353E8"/>
      <sz val="24"/>
    </font>
    <font>
      <name val="Arial"/>
      <b val="1"/>
      <color rgb="00152440"/>
      <sz val="24"/>
    </font>
    <font>
      <name val="Arial"/>
      <b val="1"/>
      <color rgb="00152440"/>
      <sz val="14"/>
    </font>
    <font>
      <name val="Arial"/>
      <b val="1"/>
      <color rgb="00283956"/>
      <sz val="12"/>
    </font>
    <font>
      <name val="Arial"/>
      <color rgb="0061728C"/>
      <sz val="10"/>
    </font>
    <font>
      <name val="Arial"/>
      <b val="1"/>
      <color rgb="00152440"/>
      <sz val="13"/>
    </font>
    <font>
      <name val="Arial"/>
      <b val="1"/>
      <color rgb="00152440"/>
      <sz val="12"/>
    </font>
    <font>
      <name val="Arial"/>
      <b val="1"/>
      <color rgb="00152440"/>
      <sz val="22"/>
    </font>
    <font>
      <name val="Arial"/>
      <b val="1"/>
      <color rgb="004353E8"/>
      <sz val="13"/>
    </font>
    <font>
      <name val="Arial"/>
      <color rgb="00283956"/>
      <sz val="12"/>
    </font>
    <font>
      <name val="Arial"/>
      <b val="1"/>
      <color rgb="004353E8"/>
      <sz val="12"/>
    </font>
  </fonts>
  <fills count="7">
    <fill>
      <patternFill/>
    </fill>
    <fill>
      <patternFill patternType="gray125"/>
    </fill>
    <fill>
      <patternFill patternType="solid">
        <fgColor rgb="00152440"/>
      </patternFill>
    </fill>
    <fill>
      <patternFill patternType="solid">
        <fgColor rgb="00EEF1FF"/>
      </patternFill>
    </fill>
    <fill>
      <patternFill patternType="solid">
        <fgColor rgb="004353E8"/>
      </patternFill>
    </fill>
    <fill>
      <patternFill patternType="solid">
        <fgColor rgb="00F5F7FB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2" borderId="0" pivotButton="0" quotePrefix="0" xfId="0"/>
    <xf numFmtId="0" fontId="3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  <xf numFmtId="0" fontId="17" fillId="3" borderId="0" applyAlignment="1" pivotButton="0" quotePrefix="0" xfId="0">
      <alignment vertical="center" wrapText="1"/>
    </xf>
    <xf numFmtId="0" fontId="0" fillId="3" borderId="0" pivotButton="0" quotePrefix="0" xfId="0"/>
    <xf numFmtId="0" fontId="18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19" fillId="3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3" borderId="0" applyAlignment="1" pivotButton="0" quotePrefix="0" xfId="0">
      <alignment vertical="center" wrapText="1"/>
    </xf>
    <xf numFmtId="168" fontId="10" fillId="5" borderId="0" applyAlignment="1" pivotButton="0" quotePrefix="0" xfId="0">
      <alignment vertical="center" wrapText="1"/>
    </xf>
    <xf numFmtId="0" fontId="0" fillId="5" borderId="0" pivotButton="0" quotePrefix="0" xfId="0"/>
    <xf numFmtId="0" fontId="11" fillId="3" borderId="0" applyAlignment="1" pivotButton="0" quotePrefix="0" xfId="0">
      <alignment vertical="center" wrapText="1"/>
    </xf>
    <xf numFmtId="0" fontId="12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  <xf numFmtId="167" fontId="0" fillId="0" borderId="0" pivotButton="0" quotePrefix="0" xfId="0"/>
    <xf numFmtId="0" fontId="4" fillId="0" borderId="0" applyAlignment="1" pivotButton="0" quotePrefix="0" xfId="0">
      <alignment vertical="center" wrapText="1"/>
    </xf>
    <xf numFmtId="165" fontId="6" fillId="3" borderId="0" applyAlignment="1" applyProtection="1" pivotButton="0" quotePrefix="0" xfId="0">
      <alignment vertical="center" wrapText="1"/>
      <protection locked="0" hidden="0"/>
    </xf>
    <xf numFmtId="0" fontId="6" fillId="3" borderId="0" applyAlignment="1" applyProtection="1" pivotButton="0" quotePrefix="0" xfId="0">
      <alignment vertical="center" wrapText="1"/>
      <protection locked="0" hidden="0"/>
    </xf>
    <xf numFmtId="166" fontId="6" fillId="3" borderId="0" applyAlignment="1" applyProtection="1" pivotButton="0" quotePrefix="0" xfId="0">
      <alignment vertical="center" wrapText="1"/>
      <protection locked="0" hidden="0"/>
    </xf>
    <xf numFmtId="0" fontId="7" fillId="4" borderId="0" applyAlignment="1" pivotButton="0" quotePrefix="0" xfId="0">
      <alignment vertical="center" wrapText="1"/>
    </xf>
    <xf numFmtId="166" fontId="5" fillId="5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wrapText="1"/>
    </xf>
    <xf numFmtId="166" fontId="5" fillId="6" borderId="0" applyAlignment="1" pivotButton="0" quotePrefix="0" xfId="0">
      <alignment vertical="center" wrapText="1"/>
    </xf>
    <xf numFmtId="0" fontId="5" fillId="6" borderId="0" applyAlignment="1" pivotButton="0" quotePrefix="0" xfId="0">
      <alignment vertical="center" wrapText="1"/>
    </xf>
    <xf numFmtId="167" fontId="5" fillId="5" borderId="0" applyAlignment="1" pivotButton="0" quotePrefix="0" xfId="0">
      <alignment vertical="center" wrapText="1"/>
    </xf>
    <xf numFmtId="167" fontId="5" fillId="6" borderId="0" applyAlignment="1" pivotButton="0" quotePrefix="0" xfId="0">
      <alignment vertical="center" wrapText="1"/>
    </xf>
    <xf numFmtId="0" fontId="6" fillId="3" borderId="0" applyAlignment="1" pivotButton="0" quotePrefix="0" xfId="0">
      <alignment vertical="center" wrapText="1"/>
    </xf>
    <xf numFmtId="0" fontId="0" fillId="3" borderId="0" applyProtection="1" pivotButton="0" quotePrefix="0" xfId="0">
      <protection locked="0" hidden="0"/>
    </xf>
    <xf numFmtId="169" fontId="6" fillId="3" borderId="0" applyAlignment="1" applyProtection="1" pivotButton="0" quotePrefix="0" xfId="0">
      <alignment vertical="center" wrapText="1"/>
      <protection locked="0" hidden="0"/>
    </xf>
    <xf numFmtId="0" fontId="14" fillId="5" borderId="0" applyAlignment="1" pivotButton="0" quotePrefix="0" xfId="0">
      <alignment vertical="center" wrapText="1"/>
    </xf>
    <xf numFmtId="0" fontId="15" fillId="5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FCE6E8"/>
        </patternFill>
      </fill>
    </dxf>
    <dxf>
      <font>
        <color rgb="009F2533"/>
      </font>
      <fill>
        <patternFill patternType="solid">
          <fgColor rgb="00FCE6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Capacité et charge par semaine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'Synthèse'!B48</f>
            </strRef>
          </tx>
          <spPr>
            <a:ln xmlns:a="http://schemas.openxmlformats.org/drawingml/2006/main" w="26000">
              <a:solidFill>
                <a:srgbClr val="61728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'Synthèse'!$A$49:$A$61</f>
            </numRef>
          </cat>
          <val>
            <numRef>
              <f>'Synthèse'!$B$49:$B$61</f>
            </numRef>
          </val>
          <smooth val="0"/>
        </ser>
        <ser>
          <idx val="1"/>
          <order val="1"/>
          <tx>
            <strRef>
              <f>'Synthèse'!C48</f>
            </strRef>
          </tx>
          <spPr>
            <a:ln xmlns:a="http://schemas.openxmlformats.org/drawingml/2006/main" w="26000">
              <a:solidFill>
                <a:srgbClr val="4353E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'Synthèse'!$A$49:$A$61</f>
            </numRef>
          </cat>
          <val>
            <numRef>
              <f>'Synthèse'!$C$49:$C$61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Jours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Trois options pour la période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'Synthèse'!F48</f>
            </strRef>
          </tx>
          <spPr>
            <a:solidFill xmlns:a="http://schemas.openxmlformats.org/drawingml/2006/main">
              <a:srgbClr val="61728C"/>
            </a:solidFill>
            <a:ln xmlns:a="http://schemas.openxmlformats.org/drawingml/2006/main">
              <a:noFill/>
              <a:prstDash val="solid"/>
            </a:ln>
          </spPr>
          <cat>
            <numRef>
              <f>'Synthèse'!$E$49:$E$51</f>
            </numRef>
          </cat>
          <val>
            <numRef>
              <f>'Synthèse'!$F$49:$F$51</f>
            </numRef>
          </val>
        </ser>
        <ser>
          <idx val="1"/>
          <order val="1"/>
          <tx>
            <strRef>
              <f>'Synthèse'!G48</f>
            </strRef>
          </tx>
          <spPr>
            <a:solidFill xmlns:a="http://schemas.openxmlformats.org/drawingml/2006/main">
              <a:srgbClr val="4353E8"/>
            </a:solidFill>
            <a:ln xmlns:a="http://schemas.openxmlformats.org/drawingml/2006/main">
              <a:noFill/>
              <a:prstDash val="solid"/>
            </a:ln>
          </spPr>
          <cat>
            <numRef>
              <f>'Synthèse'!$E$49:$E$51</f>
            </numRef>
          </cat>
          <val>
            <numRef>
              <f>'Synthèse'!$G$49:$G$51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ersonnes" displayName="tblPersonnes" ref="A7:I47" headerRowCount="1">
  <autoFilter ref="A7:I47"/>
  <tableColumns count="9">
    <tableColumn id="1" name="ID unique"/>
    <tableColumn id="2" name="Nom"/>
    <tableColumn id="3" name="Équipe"/>
    <tableColumn id="4" name="Jours ouvrés / sem."/>
    <tableColumn id="5" name="Run / sem."/>
    <tableColumn id="6" name="Déjà engagé / sem."/>
    <tableColumn id="7" name="Net pour ces projets"/>
    <tableColumn id="8" name="Source / date"/>
    <tableColumn id="9" name="Contrôle"/>
  </tableColumns>
  <tableStyleInfo name="TableStyleMedium2" showRowStripes="0"/>
</table>
</file>

<file path=xl/tables/table2.xml><?xml version="1.0" encoding="utf-8"?>
<table xmlns="http://schemas.openxmlformats.org/spreadsheetml/2006/main" id="2" name="tblProjets" displayName="tblProjets" ref="A7:J67" headerRowCount="1">
  <autoFilter ref="A7:J67"/>
  <tableColumns count="10">
    <tableColumn id="1" name="ID unique"/>
    <tableColumn id="2" name="Projet"/>
    <tableColumn id="3" name="Sponsor"/>
    <tableColumn id="4" name="Contrainte / date"/>
    <tableColumn id="5" name="Option A"/>
    <tableColumn id="6" name="Option B"/>
    <tableColumn id="7" name="Retenu"/>
    <tableColumn id="8" name="Charge totale (j)"/>
    <tableColumn id="9" name="Motif / conséquence du report"/>
    <tableColumn id="10" name="Contrôle"/>
  </tableColumns>
  <tableStyleInfo name="TableStyleMedium2" showRowStripes="0"/>
</table>
</file>

<file path=xl/tables/table3.xml><?xml version="1.0" encoding="utf-8"?>
<table xmlns="http://schemas.openxmlformats.org/spreadsheetml/2006/main" id="3" name="tblCharges" displayName="tblCharges" ref="A7:S247" headerRowCount="1">
  <autoFilter ref="A7:S247"/>
  <tableColumns count="19">
    <tableColumn id="1" name="Projet ID"/>
    <tableColumn id="2" name="Livrable"/>
    <tableColumn id="3" name="Personne ID"/>
    <tableColumn id="4" name="Équipe calculée"/>
    <tableColumn id="5" name="Contrôle"/>
    <tableColumn id="6" name="S1"/>
    <tableColumn id="7" name="S2"/>
    <tableColumn id="8" name="S3"/>
    <tableColumn id="9" name="S4"/>
    <tableColumn id="10" name="S5"/>
    <tableColumn id="11" name="S6"/>
    <tableColumn id="12" name="S7"/>
    <tableColumn id="13" name="S8"/>
    <tableColumn id="14" name="S9"/>
    <tableColumn id="15" name="S10"/>
    <tableColumn id="16" name="S11"/>
    <tableColumn id="17" name="S12"/>
    <tableColumn id="18" name="S13"/>
    <tableColumn id="19" name="Source / hypothèse"/>
  </tableColumns>
  <tableStyleInfo name="TableStyleMedium2" showRowStripes="0"/>
</table>
</file>

<file path=xl/tables/table4.xml><?xml version="1.0" encoding="utf-8"?>
<table xmlns="http://schemas.openxmlformats.org/spreadsheetml/2006/main" id="4" name="tblDependances" displayName="tblDependances" ref="A7:H67" headerRowCount="1">
  <autoFilter ref="A7:H67"/>
  <tableColumns count="8">
    <tableColumn id="1" name="Demandeur ID"/>
    <tableColumn id="2" name="Préalable ID"/>
    <tableColumn id="3" name="Livrable attendu"/>
    <tableColumn id="4" name="Échéance"/>
    <tableColumn id="5" name="Responsable"/>
    <tableColumn id="6" name="État"/>
    <tableColumn id="7" name="Conséquence du retard"/>
    <tableColumn id="8" name="Alerte"/>
  </tableColumns>
  <tableStyleInfo name="TableStyleMedium2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irsaas.io/fr/meetings-pages?intent=capacity" TargetMode="External" Id="rId1"/><Relationship Type="http://schemas.openxmlformats.org/officeDocument/2006/relationships/hyperlink" Target="https://www.airsaas.io/fr/blog/plan-de-charge-excel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tabColor rgb="004353E8"/>
    <outlinePr summaryBelow="1" summaryRight="0"/>
    <pageSetUpPr fitToPage="1"/>
  </sheetPr>
  <dimension ref="A1:L39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Construire un plan qui tient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Un classeur pour préparer les engagements, comparer deux options et présenter une décision. Version 06/10/2026 · VIERGE</t>
        </is>
      </c>
    </row>
    <row r="5" ht="20" customHeight="1"/>
    <row r="7">
      <c r="A7" s="5" t="inlineStr">
        <is>
          <t>De la charge saisie à la décision partagée</t>
        </is>
      </c>
    </row>
    <row r="8"/>
    <row r="9"/>
    <row r="11">
      <c r="A11" s="6" t="inlineStr">
        <is>
          <t>1. Paramétrer</t>
        </is>
      </c>
      <c r="B11" s="7" t="n"/>
      <c r="C11" s="7" t="n"/>
      <c r="D11" s="7" t="n"/>
      <c r="E11" s="8" t="inlineStr">
        <is>
          <t>Période, équipes et barème.</t>
        </is>
      </c>
    </row>
    <row r="12">
      <c r="A12" s="7" t="n"/>
      <c r="B12" s="7" t="n"/>
      <c r="C12" s="7" t="n"/>
      <c r="D12" s="7" t="n"/>
    </row>
    <row r="14">
      <c r="A14" s="6" t="inlineStr">
        <is>
          <t>2. Poser la capacité</t>
        </is>
      </c>
      <c r="B14" s="7" t="n"/>
      <c r="C14" s="7" t="n"/>
      <c r="D14" s="7" t="n"/>
      <c r="E14" s="8" t="inlineStr">
        <is>
          <t>Personnes, run, engagements ; ajustez les absences dans Capacité.</t>
        </is>
      </c>
    </row>
    <row r="15">
      <c r="A15" s="7" t="n"/>
      <c r="B15" s="7" t="n"/>
      <c r="C15" s="7" t="n"/>
      <c r="D15" s="7" t="n"/>
    </row>
    <row r="17">
      <c r="A17" s="6" t="inlineStr">
        <is>
          <t>3. Décrire le travail</t>
        </is>
      </c>
      <c r="B17" s="7" t="n"/>
      <c r="C17" s="7" t="n"/>
      <c r="D17" s="7" t="n"/>
      <c r="E17" s="8" t="inlineStr">
        <is>
          <t>Projets, puis livrables et charges hebdomadaires dans Charges.</t>
        </is>
      </c>
    </row>
    <row r="18">
      <c r="A18" s="7" t="n"/>
      <c r="B18" s="7" t="n"/>
      <c r="C18" s="7" t="n"/>
      <c r="D18" s="7" t="n"/>
    </row>
    <row r="20">
      <c r="A20" s="6" t="inlineStr">
        <is>
          <t>4. Comparer A et B</t>
        </is>
      </c>
      <c r="B20" s="7" t="n"/>
      <c r="C20" s="7" t="n"/>
      <c r="D20" s="7" t="n"/>
      <c r="E20" s="8" t="inlineStr">
        <is>
          <t>Choisissez Engager / Reporter par projet. Consultez les goulots.</t>
        </is>
      </c>
    </row>
    <row r="21">
      <c r="A21" s="7" t="n"/>
      <c r="B21" s="7" t="n"/>
      <c r="C21" s="7" t="n"/>
      <c r="D21" s="7" t="n"/>
    </row>
    <row r="23">
      <c r="A23" s="6" t="inlineStr">
        <is>
          <t>5. Valider les conditions</t>
        </is>
      </c>
      <c r="B23" s="7" t="n"/>
      <c r="C23" s="7" t="n"/>
      <c r="D23" s="7" t="n"/>
      <c r="E23" s="8" t="inlineStr">
        <is>
          <t>Corrigez les données ; vérifiez les dépendances et les obligations.</t>
        </is>
      </c>
    </row>
    <row r="24">
      <c r="A24" s="7" t="n"/>
      <c r="B24" s="7" t="n"/>
      <c r="C24" s="7" t="n"/>
      <c r="D24" s="7" t="n"/>
    </row>
    <row r="26">
      <c r="A26" s="6" t="inlineStr">
        <is>
          <t>6. Préparer votre revue</t>
        </is>
      </c>
      <c r="B26" s="7" t="n"/>
      <c r="C26" s="7" t="n"/>
      <c r="D26" s="7" t="n"/>
      <c r="E26" s="8" t="inlineStr">
        <is>
          <t>Consignez la décision et exportez Restitution en PDF.</t>
        </is>
      </c>
    </row>
    <row r="27">
      <c r="A27" s="7" t="n"/>
      <c r="B27" s="7" t="n"/>
      <c r="C27" s="7" t="n"/>
      <c r="D27" s="7" t="n"/>
    </row>
    <row r="30">
      <c r="A30" s="4" t="inlineStr">
        <is>
          <t>Cellules bleues : à remplir. Formules protégées contre les erreurs, sans mot de passe (Révision → Ôter la protection). Aucune macro, aucun envoi de données. Restez dans les réserves indiquées ; ajouter une ligne hors tableau ne garantit pas son inclusion.</t>
        </is>
      </c>
    </row>
    <row r="31"/>
    <row r="32"/>
    <row r="34">
      <c r="A34" s="9" t="inlineStr">
        <is>
          <t>Pour démarrer : gardez l’exemple et changez une charge, une capacité ou un choix A/B. Pour vos données, téléchargez la version vierge. Une marge positive ne prouve pas que les dépendances sont levées. Les réunions, décisions et priorités restent à valider par les responsables.</t>
        </is>
      </c>
    </row>
    <row r="35"/>
    <row r="36"/>
    <row r="38">
      <c r="A38" s="10" t="inlineStr">
        <is>
          <t>Examiner vos arbitrages en démo AirSaas →</t>
        </is>
      </c>
      <c r="B38" s="7" t="n"/>
      <c r="C38" s="7" t="n"/>
      <c r="D38" s="7" t="n"/>
      <c r="E38" s="7" t="n"/>
      <c r="F38" s="7" t="n"/>
      <c r="G38" s="10" t="inlineStr">
        <is>
          <t>Mode d’emploi et version vierge →</t>
        </is>
      </c>
      <c r="H38" s="7" t="n"/>
      <c r="I38" s="7" t="n"/>
      <c r="J38" s="7" t="n"/>
      <c r="K38" s="7" t="n"/>
      <c r="L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9">
    <mergeCell ref="A4:L5"/>
    <mergeCell ref="E11:L12"/>
    <mergeCell ref="A38:F39"/>
    <mergeCell ref="A7:L9"/>
    <mergeCell ref="A1:L2"/>
    <mergeCell ref="A26:D27"/>
    <mergeCell ref="E26:L27"/>
    <mergeCell ref="A14:D15"/>
    <mergeCell ref="G38:L39"/>
    <mergeCell ref="A17:D18"/>
    <mergeCell ref="A20:D21"/>
    <mergeCell ref="A23:D24"/>
    <mergeCell ref="E14:L15"/>
    <mergeCell ref="A34:L36"/>
    <mergeCell ref="E17:L18"/>
    <mergeCell ref="E20:L21"/>
    <mergeCell ref="E23:L24"/>
    <mergeCell ref="A30:L32"/>
    <mergeCell ref="A11:D12"/>
  </mergeCell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  <hyperlink ref="A11" location="'Paramètres'!A1" display="1. Paramétrer"/>
    <hyperlink ref="A14" location="'Personnes'!A1" display="2. Poser la capacité"/>
    <hyperlink ref="A17" location="'Projets'!A1" display="3. Décrire le travail"/>
    <hyperlink ref="A20" location="'Scénarios'!A1" display="4. Comparer A et B"/>
    <hyperlink ref="A23" location="'Dépendances'!A1" display="5. Valider les conditions"/>
    <hyperlink ref="A26" location="'Décision'!A1" display="6. Préparer votre revue"/>
    <hyperlink xmlns:r="http://schemas.openxmlformats.org/officeDocument/2006/relationships" ref="A38" r:id="rId1"/>
    <hyperlink xmlns:r="http://schemas.openxmlformats.org/officeDocument/2006/relationships" ref="G38" r:id="rId2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353E8"/>
    <outlinePr summaryBelow="1" summaryRight="0"/>
    <pageSetUpPr fitToPage="1"/>
  </sheetPr>
  <dimension ref="A1:L61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Votre plan tient-il vraiment ?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Commencez par les contrôles, puis les goulots par personne et semaine. Les graphiques et la restitution suivent le même scénario.</t>
        </is>
      </c>
    </row>
    <row r="5" ht="20" customHeight="1"/>
    <row r="7">
      <c r="A7" s="11" t="inlineStr">
        <is>
          <t>SCÉNARIO</t>
        </is>
      </c>
      <c r="D7" s="11" t="inlineStr">
        <is>
          <t>CAPACITÉ DISPONIBLE</t>
        </is>
      </c>
      <c r="G7" s="11" t="inlineStr">
        <is>
          <t>CHARGE RETENUE</t>
        </is>
      </c>
      <c r="J7" s="11" t="inlineStr">
        <is>
          <t>DÉFICIT LOCAL</t>
        </is>
      </c>
    </row>
    <row r="8">
      <c r="A8" s="12" t="str">
        <f>Paramètres!B10</f>
        <v>Tous</v>
      </c>
      <c r="B8" s="7" t="n"/>
      <c r="C8" s="7" t="n"/>
      <c r="D8" s="13" t="n">
        <f>SUM('Planning par personne'!C8:O47)</f>
        <v>0</v>
      </c>
      <c r="E8" s="14" t="n"/>
      <c r="F8" s="14" t="n"/>
      <c r="G8" s="13" t="n">
        <f>SUMPRODUCT(Calculs!R8:R247*Calculs!S8:S247)</f>
        <v>0</v>
      </c>
      <c r="H8" s="14" t="n"/>
      <c r="I8" s="14" t="n"/>
      <c r="J8" s="13" t="n">
        <f>IF(Paramètres!B10="Tous",SUM(Scénarios!H8:H27),IF(Paramètres!B10="A",SUM(Scénarios!I8:I27),SUM(Scénarios!J8:J27)))</f>
        <v>0</v>
      </c>
      <c r="K8" s="14" t="n"/>
      <c r="L8" s="14" t="n"/>
    </row>
    <row r="9">
      <c r="A9" s="7" t="n"/>
      <c r="B9" s="7" t="n"/>
      <c r="C9" s="7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>
      <c r="A10" s="7" t="n"/>
      <c r="B10" s="7" t="n"/>
      <c r="C10" s="7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2">
      <c r="A12" s="15" t="str">
        <f>IF(Contrôles!B17&gt;0,"DONNÉES À CORRIGER — voir Contrôles",IF(OR(COUNTA(Personnes!A8:A47)=0,COUNTA(Projets!A8:A67)=0),"À RENSEIGNER — ajoutez vos personnes, projets et charges",IF(J8&gt;0,"À ARBITRER — des personnes dépassent leur capacité sur certaines semaines","CAPACITÉ COMPATIBLE — vérifier les dépendances et les contraintes métier")))</f>
        <v>À RENSEIGNER — ajoutez vos personnes, projets et charges</v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</row>
    <row r="15">
      <c r="A15" s="16" t="str">
        <f>"Projets retenus : "&amp;COUNTIF(Projets!G8:G67,"Engager")&amp;"   •   Reportés : "&amp;COUNTIF(Projets!G8:G67,"Reporter")</f>
        <v>Projets retenus : 0   •   Reportés : 0</v>
      </c>
      <c r="G15" s="16" t="str">
        <f>"Dépendances à résoudre : "&amp;(COUNTIF(Dépendances!H8:H67,"À résoudre")+COUNTIF(Dépendances!H8:H67,"Préalable reporté"))</f>
        <v>Dépendances à résoudre : 0</v>
      </c>
    </row>
    <row r="16"/>
    <row r="38">
      <c r="A38" s="17" t="inlineStr">
        <is>
          <t>Un total de période disponible ne suffit pas : l’indicateur Déficit local additionne les dépassements par personne et par semaine. Les options peuvent nécessiter un décalage, une réaffectation ou une réduction du périmètre.</t>
        </is>
      </c>
    </row>
    <row r="39"/>
    <row r="40"/>
    <row r="48">
      <c r="A48" t="inlineStr">
        <is>
          <t>Semaine</t>
        </is>
      </c>
      <c r="B48" t="inlineStr">
        <is>
          <t>Capacité</t>
        </is>
      </c>
      <c r="C48" t="inlineStr">
        <is>
          <t>Charge</t>
        </is>
      </c>
      <c r="E48" t="inlineStr">
        <is>
          <t>Option</t>
        </is>
      </c>
      <c r="F48" t="inlineStr">
        <is>
          <t>Capacité</t>
        </is>
      </c>
      <c r="G48" t="inlineStr">
        <is>
          <t>Charge</t>
        </is>
      </c>
    </row>
    <row r="49">
      <c r="A49" s="18" t="n">
        <f>IFERROR(IF(1&lt;=Paramètres!B9,Paramètres!B8+0,""),"")</f>
        <v>46300</v>
      </c>
      <c r="B49" t="n">
        <f>SUM('Planning par personne'!C8:C47)</f>
        <v>0</v>
      </c>
      <c r="C49" t="n">
        <f>SUM(Calculs!X8:X247)</f>
        <v>0</v>
      </c>
      <c r="E49" t="inlineStr">
        <is>
          <t>Tout accepter</t>
        </is>
      </c>
      <c r="F49" t="n">
        <f>D8</f>
        <v>0</v>
      </c>
      <c r="G49" t="n">
        <f>SUM(Scénarios!C8:C27)</f>
        <v>0</v>
      </c>
    </row>
    <row r="50">
      <c r="A50" s="18" t="n">
        <f>IFERROR(IF(2&lt;=Paramètres!B9,Paramètres!B8+7,""),"")</f>
        <v>46307</v>
      </c>
      <c r="B50" t="n">
        <f>SUM('Planning par personne'!D8:D47)</f>
        <v>0</v>
      </c>
      <c r="C50" t="n">
        <f>SUM(Calculs!Y8:Y247)</f>
        <v>0</v>
      </c>
      <c r="E50" t="inlineStr">
        <is>
          <t>Option A</t>
        </is>
      </c>
      <c r="F50" t="n">
        <f>D8</f>
        <v>0</v>
      </c>
      <c r="G50" t="n">
        <f>SUM(Scénarios!D8:D27)</f>
        <v>0</v>
      </c>
    </row>
    <row r="51">
      <c r="A51" s="18" t="n">
        <f>IFERROR(IF(3&lt;=Paramètres!B9,Paramètres!B8+14,""),"")</f>
        <v>46314</v>
      </c>
      <c r="B51" t="n">
        <f>SUM('Planning par personne'!E8:E47)</f>
        <v>0</v>
      </c>
      <c r="C51" t="n">
        <f>SUM(Calculs!Z8:Z247)</f>
        <v>0</v>
      </c>
      <c r="E51" t="inlineStr">
        <is>
          <t>Option B</t>
        </is>
      </c>
      <c r="F51" t="n">
        <f>D8</f>
        <v>0</v>
      </c>
      <c r="G51" t="n">
        <f>SUM(Scénarios!E8:E27)</f>
        <v>0</v>
      </c>
    </row>
    <row r="52">
      <c r="A52" s="18" t="n">
        <f>IFERROR(IF(4&lt;=Paramètres!B9,Paramètres!B8+21,""),"")</f>
        <v>46321</v>
      </c>
      <c r="B52" t="n">
        <f>SUM('Planning par personne'!F8:F47)</f>
        <v>0</v>
      </c>
      <c r="C52" t="n">
        <f>SUM(Calculs!AA8:AA247)</f>
        <v>0</v>
      </c>
    </row>
    <row r="53">
      <c r="A53" s="18" t="n">
        <f>IFERROR(IF(5&lt;=Paramètres!B9,Paramètres!B8+28,""),"")</f>
        <v>46328</v>
      </c>
      <c r="B53" t="n">
        <f>SUM('Planning par personne'!G8:G47)</f>
        <v>0</v>
      </c>
      <c r="C53" t="n">
        <f>SUM(Calculs!AB8:AB247)</f>
        <v>0</v>
      </c>
    </row>
    <row r="54">
      <c r="A54" s="18" t="n">
        <f>IFERROR(IF(6&lt;=Paramètres!B9,Paramètres!B8+35,""),"")</f>
        <v>46335</v>
      </c>
      <c r="B54" t="n">
        <f>SUM('Planning par personne'!H8:H47)</f>
        <v>0</v>
      </c>
      <c r="C54" t="n">
        <f>SUM(Calculs!AC8:AC247)</f>
        <v>0</v>
      </c>
    </row>
    <row r="55">
      <c r="A55" s="18" t="n">
        <f>IFERROR(IF(7&lt;=Paramètres!B9,Paramètres!B8+42,""),"")</f>
        <v>46342</v>
      </c>
      <c r="B55" t="n">
        <f>SUM('Planning par personne'!I8:I47)</f>
        <v>0</v>
      </c>
      <c r="C55" t="n">
        <f>SUM(Calculs!AD8:AD247)</f>
        <v>0</v>
      </c>
    </row>
    <row r="56">
      <c r="A56" s="18" t="n">
        <f>IFERROR(IF(8&lt;=Paramètres!B9,Paramètres!B8+49,""),"")</f>
        <v>46349</v>
      </c>
      <c r="B56" t="n">
        <f>SUM('Planning par personne'!J8:J47)</f>
        <v>0</v>
      </c>
      <c r="C56" t="n">
        <f>SUM(Calculs!AE8:AE247)</f>
        <v>0</v>
      </c>
    </row>
    <row r="57">
      <c r="A57" s="18" t="n">
        <f>IFERROR(IF(9&lt;=Paramètres!B9,Paramètres!B8+56,""),"")</f>
        <v>46356</v>
      </c>
      <c r="B57" t="n">
        <f>SUM('Planning par personne'!K8:K47)</f>
        <v>0</v>
      </c>
      <c r="C57" t="n">
        <f>SUM(Calculs!AF8:AF247)</f>
        <v>0</v>
      </c>
    </row>
    <row r="58">
      <c r="A58" s="18" t="n">
        <f>IFERROR(IF(10&lt;=Paramètres!B9,Paramètres!B8+63,""),"")</f>
        <v>46363</v>
      </c>
      <c r="B58" t="n">
        <f>SUM('Planning par personne'!L8:L47)</f>
        <v>0</v>
      </c>
      <c r="C58" t="n">
        <f>SUM(Calculs!AG8:AG247)</f>
        <v>0</v>
      </c>
    </row>
    <row r="59">
      <c r="A59" s="18" t="n">
        <f>IFERROR(IF(11&lt;=Paramètres!B9,Paramètres!B8+70,""),"")</f>
        <v>46370</v>
      </c>
      <c r="B59" t="n">
        <f>SUM('Planning par personne'!M8:M47)</f>
        <v>0</v>
      </c>
      <c r="C59" t="n">
        <f>SUM(Calculs!AH8:AH247)</f>
        <v>0</v>
      </c>
    </row>
    <row r="60">
      <c r="A60" s="18" t="n">
        <f>IFERROR(IF(12&lt;=Paramètres!B9,Paramètres!B8+77,""),"")</f>
        <v>46377</v>
      </c>
      <c r="B60" t="n">
        <f>SUM('Planning par personne'!N8:N47)</f>
        <v>0</v>
      </c>
      <c r="C60" t="n">
        <f>SUM(Calculs!AI8:AI247)</f>
        <v>0</v>
      </c>
    </row>
    <row r="61">
      <c r="A61" s="18" t="n">
        <f>IFERROR(IF(13&lt;=Paramètres!B9,Paramètres!B8+84,""),"")</f>
        <v>46384</v>
      </c>
      <c r="B61" t="n">
        <f>SUM('Planning par personne'!O8:O47)</f>
        <v>0</v>
      </c>
      <c r="C61" t="n">
        <f>SUM(Calculs!AJ8:AJ247)</f>
        <v>0</v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4">
    <mergeCell ref="J7:L7"/>
    <mergeCell ref="A4:L5"/>
    <mergeCell ref="A12:L13"/>
    <mergeCell ref="G15:L16"/>
    <mergeCell ref="G8:I10"/>
    <mergeCell ref="A15:F16"/>
    <mergeCell ref="A38:L40"/>
    <mergeCell ref="J8:L10"/>
    <mergeCell ref="A1:L2"/>
    <mergeCell ref="A8:C10"/>
    <mergeCell ref="D7:F7"/>
    <mergeCell ref="A7:C7"/>
    <mergeCell ref="G7:I7"/>
    <mergeCell ref="D8:F10"/>
  </mergeCell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L32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22" customWidth="1" min="2" max="2"/>
    <col width="13" customWidth="1" min="3" max="3"/>
    <col width="13" customWidth="1" min="4" max="4"/>
    <col width="13" customWidth="1" min="5" max="5"/>
    <col width="24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01 / Votre période de travail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Bleu = saisie. Blanc / gris = résultat. Chaque charge est exprimée en jours ou convertie depuis S, M, L, XL.</t>
        </is>
      </c>
    </row>
    <row r="5" ht="20" customHeight="1"/>
    <row r="7">
      <c r="F7" s="19" t="inlineStr">
        <is>
          <t>Équipes — noms uniques</t>
        </is>
      </c>
    </row>
    <row r="8" ht="28" customHeight="1">
      <c r="A8" s="19" t="inlineStr">
        <is>
          <t>Lundi de départ</t>
        </is>
      </c>
      <c r="B8" s="20" t="n">
        <v>46300</v>
      </c>
      <c r="F8" s="21" t="n"/>
    </row>
    <row r="9" ht="28" customHeight="1">
      <c r="A9" s="19" t="inlineStr">
        <is>
          <t>Semaines (1–13)</t>
        </is>
      </c>
      <c r="B9" s="21" t="n">
        <v>13</v>
      </c>
      <c r="F9" s="21" t="n"/>
    </row>
    <row r="10" ht="28" customHeight="1">
      <c r="A10" s="19" t="inlineStr">
        <is>
          <t>Scénario affiché</t>
        </is>
      </c>
      <c r="B10" s="21" t="inlineStr">
        <is>
          <t>Tous</t>
        </is>
      </c>
      <c r="F10" s="21" t="n"/>
    </row>
    <row r="11" ht="28" customHeight="1">
      <c r="F11" s="21" t="n"/>
    </row>
    <row r="12" ht="28" customHeight="1">
      <c r="A12" s="4" t="inlineStr">
        <is>
          <t>Barème d’estimation — modifiable. Une taille XL n’est pas une surcharge en soi : la charge est comparée à la capacité disponible.</t>
        </is>
      </c>
      <c r="F12" s="21" t="n"/>
    </row>
    <row r="13" ht="28" customHeight="1">
      <c r="F13" s="21" t="n"/>
    </row>
    <row r="14" ht="28" customHeight="1">
      <c r="F14" s="21" t="n"/>
    </row>
    <row r="15" ht="28" customHeight="1">
      <c r="A15" s="19" t="inlineStr">
        <is>
          <t>S</t>
        </is>
      </c>
      <c r="B15" s="22" t="n">
        <v>1</v>
      </c>
      <c r="F15" s="21" t="n"/>
    </row>
    <row r="16" ht="28" customHeight="1">
      <c r="A16" s="19" t="inlineStr">
        <is>
          <t>M</t>
        </is>
      </c>
      <c r="B16" s="22" t="n">
        <v>2</v>
      </c>
      <c r="F16" s="21" t="n"/>
    </row>
    <row r="17" ht="28" customHeight="1">
      <c r="A17" s="19" t="inlineStr">
        <is>
          <t>L</t>
        </is>
      </c>
      <c r="B17" s="22" t="n">
        <v>3</v>
      </c>
      <c r="F17" s="21" t="n"/>
    </row>
    <row r="18" ht="28" customHeight="1">
      <c r="A18" s="19" t="inlineStr">
        <is>
          <t>XL</t>
        </is>
      </c>
      <c r="B18" s="22" t="n">
        <v>5</v>
      </c>
      <c r="F18" s="21" t="n"/>
    </row>
    <row r="19" ht="28" customHeight="1">
      <c r="F19" s="21" t="n"/>
    </row>
    <row r="20" ht="28" customHeight="1">
      <c r="F20" s="21" t="n"/>
    </row>
    <row r="21" ht="28" customHeight="1">
      <c r="F21" s="21" t="n"/>
    </row>
    <row r="22" ht="28" customHeight="1">
      <c r="F22" s="21" t="n"/>
    </row>
    <row r="23" ht="28" customHeight="1">
      <c r="F23" s="21" t="n"/>
    </row>
    <row r="24" ht="28" customHeight="1">
      <c r="F24" s="21" t="n"/>
    </row>
    <row r="25" ht="28" customHeight="1">
      <c r="F25" s="21" t="n"/>
    </row>
    <row r="26" ht="28" customHeight="1">
      <c r="F26" s="21" t="n"/>
    </row>
    <row r="27" ht="28" customHeight="1">
      <c r="F27" s="21" t="n"/>
    </row>
    <row r="30">
      <c r="A30" s="9" t="inlineStr">
        <is>
          <t>Réserves prêtes à remplir : 40 personnes, 20 équipes, 60 projets, 240 lignes de charge et 60 dépendances. Utilisez les lignes vides dans les tableaux. Au-delà, agrandissez le modèle et ses plages avant de saisir.</t>
        </is>
      </c>
    </row>
    <row r="31"/>
    <row r="32"/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4">
    <mergeCell ref="A30:L32"/>
    <mergeCell ref="A4:L5"/>
    <mergeCell ref="A12:D13"/>
    <mergeCell ref="A1:L2"/>
  </mergeCells>
  <dataValidations count="4">
    <dataValidation sqref="B8" showDropDown="0" showInputMessage="0" showErrorMessage="1" allowBlank="1" errorTitle="Saisie à corriger" error="Utilisez une valeur autorisée. Les contrôles repèrent aussi les erreurs collées." type="custom" errorStyle="stop">
      <formula1>AND(ISNUMBER(B8),WEEKDAY(B8,2)=1)</formula1>
    </dataValidation>
    <dataValidation sqref="B9" showDropDown="0" showInputMessage="0" showErrorMessage="1" allowBlank="1" errorTitle="Saisie à corriger" error="Utilisez une valeur autorisée. Les contrôles repèrent aussi les erreurs collées." type="whole" errorStyle="stop" operator="between">
      <formula1>1</formula1>
      <formula2>13</formula2>
    </dataValidation>
    <dataValidation sqref="B10" showDropDown="0" showInputMessage="0" showErrorMessage="1" allowBlank="1" errorTitle="Saisie à corriger" error="Utilisez une valeur autorisée. Les contrôles repèrent aussi les erreurs collées." type="list" errorStyle="stop">
      <formula1>"Tous,A,B"</formula1>
    </dataValidation>
    <dataValidation sqref="B15:B18" showDropDown="0" showInputMessage="0" showErrorMessage="1" allowBlank="1" errorTitle="Saisie à corriger" error="Utilisez une valeur autorisée. Les contrôles repèrent aussi les erreurs collées." type="decimal" errorStyle="stop" operator="greaterThanOrEqual">
      <formula1>0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J4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3" customWidth="1" min="4" max="4"/>
    <col width="13" customWidth="1" min="5" max="5"/>
    <col width="13" customWidth="1" min="6" max="6"/>
    <col width="13" customWidth="1" min="7" max="7"/>
    <col width="28" customWidth="1" min="8" max="8"/>
    <col width="20" customWidth="1" min="9" max="9"/>
    <col width="13" customWidth="1" min="10" max="10"/>
  </cols>
  <sheetData>
    <row r="1" ht="25" customHeight="1">
      <c r="A1" s="1" t="inlineStr">
        <is>
          <t>02 / Personnes et capacité habituelle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Capacité nette = jours ouvrés − run − engagements hors des projets saisis. Saisissez les absences et variations dans Capacité.</t>
        </is>
      </c>
    </row>
    <row r="5" ht="20" customHeight="1"/>
    <row r="7" ht="36" customHeight="1">
      <c r="A7" s="23" t="inlineStr">
        <is>
          <t>ID unique</t>
        </is>
      </c>
      <c r="B7" s="23" t="inlineStr">
        <is>
          <t>Nom</t>
        </is>
      </c>
      <c r="C7" s="23" t="inlineStr">
        <is>
          <t>Équipe</t>
        </is>
      </c>
      <c r="D7" s="23" t="inlineStr">
        <is>
          <t>Jours ouvrés / sem.</t>
        </is>
      </c>
      <c r="E7" s="23" t="inlineStr">
        <is>
          <t>Run / sem.</t>
        </is>
      </c>
      <c r="F7" s="23" t="inlineStr">
        <is>
          <t>Déjà engagé / sem.</t>
        </is>
      </c>
      <c r="G7" s="23" t="inlineStr">
        <is>
          <t>Net pour ces projets</t>
        </is>
      </c>
      <c r="H7" s="23" t="inlineStr">
        <is>
          <t>Source / date</t>
        </is>
      </c>
      <c r="I7" s="23" t="inlineStr">
        <is>
          <t>Contrôle</t>
        </is>
      </c>
    </row>
    <row r="8" ht="28" customHeight="1">
      <c r="A8" s="21" t="n"/>
      <c r="B8" s="21" t="n"/>
      <c r="C8" s="21" t="n"/>
      <c r="D8" s="22" t="n"/>
      <c r="E8" s="22" t="n"/>
      <c r="F8" s="22" t="n"/>
      <c r="G8" s="24" t="str">
        <f>IF(A8="","",SUM(D8)-SUM(E8)-SUM(F8))</f>
        <v/>
      </c>
      <c r="H8" s="21" t="n"/>
      <c r="I8" s="25" t="str">
        <f>IF(COUNTA(A8:F8)=0,"",IF(AND(A8&lt;&gt;"",B8&lt;&gt;"",COUNTIF($A$8:$A$47,A8)=1,COUNTIF(Equipes,C8)=1,COUNT(D8:F8)=3,MIN(D8:F8)&gt;=0,G8&gt;=0),"OK","À corriger"))</f>
        <v/>
      </c>
    </row>
    <row r="9" ht="28" customHeight="1">
      <c r="A9" s="21" t="n"/>
      <c r="B9" s="21" t="n"/>
      <c r="C9" s="21" t="n"/>
      <c r="D9" s="22" t="n"/>
      <c r="E9" s="22" t="n"/>
      <c r="F9" s="22" t="n"/>
      <c r="G9" s="26" t="str">
        <f>IF(A9="","",SUM(D9)-SUM(E9)-SUM(F9))</f>
        <v/>
      </c>
      <c r="H9" s="21" t="n"/>
      <c r="I9" s="27" t="str">
        <f>IF(COUNTA(A9:F9)=0,"",IF(AND(A9&lt;&gt;"",B9&lt;&gt;"",COUNTIF($A$8:$A$47,A9)=1,COUNTIF(Equipes,C9)=1,COUNT(D9:F9)=3,MIN(D9:F9)&gt;=0,G9&gt;=0),"OK","À corriger"))</f>
        <v/>
      </c>
    </row>
    <row r="10" ht="28" customHeight="1">
      <c r="A10" s="21" t="n"/>
      <c r="B10" s="21" t="n"/>
      <c r="C10" s="21" t="n"/>
      <c r="D10" s="22" t="n"/>
      <c r="E10" s="22" t="n"/>
      <c r="F10" s="22" t="n"/>
      <c r="G10" s="24" t="str">
        <f>IF(A10="","",SUM(D10)-SUM(E10)-SUM(F10))</f>
        <v/>
      </c>
      <c r="H10" s="21" t="n"/>
      <c r="I10" s="25" t="str">
        <f>IF(COUNTA(A10:F10)=0,"",IF(AND(A10&lt;&gt;"",B10&lt;&gt;"",COUNTIF($A$8:$A$47,A10)=1,COUNTIF(Equipes,C10)=1,COUNT(D10:F10)=3,MIN(D10:F10)&gt;=0,G10&gt;=0),"OK","À corriger"))</f>
        <v/>
      </c>
    </row>
    <row r="11" ht="28" customHeight="1">
      <c r="A11" s="21" t="n"/>
      <c r="B11" s="21" t="n"/>
      <c r="C11" s="21" t="n"/>
      <c r="D11" s="22" t="n"/>
      <c r="E11" s="22" t="n"/>
      <c r="F11" s="22" t="n"/>
      <c r="G11" s="26" t="str">
        <f>IF(A11="","",SUM(D11)-SUM(E11)-SUM(F11))</f>
        <v/>
      </c>
      <c r="H11" s="21" t="n"/>
      <c r="I11" s="27" t="str">
        <f>IF(COUNTA(A11:F11)=0,"",IF(AND(A11&lt;&gt;"",B11&lt;&gt;"",COUNTIF($A$8:$A$47,A11)=1,COUNTIF(Equipes,C11)=1,COUNT(D11:F11)=3,MIN(D11:F11)&gt;=0,G11&gt;=0),"OK","À corriger"))</f>
        <v/>
      </c>
    </row>
    <row r="12" ht="28" customHeight="1">
      <c r="A12" s="21" t="n"/>
      <c r="B12" s="21" t="n"/>
      <c r="C12" s="21" t="n"/>
      <c r="D12" s="22" t="n"/>
      <c r="E12" s="22" t="n"/>
      <c r="F12" s="22" t="n"/>
      <c r="G12" s="24" t="str">
        <f>IF(A12="","",SUM(D12)-SUM(E12)-SUM(F12))</f>
        <v/>
      </c>
      <c r="H12" s="21" t="n"/>
      <c r="I12" s="25" t="str">
        <f>IF(COUNTA(A12:F12)=0,"",IF(AND(A12&lt;&gt;"",B12&lt;&gt;"",COUNTIF($A$8:$A$47,A12)=1,COUNTIF(Equipes,C12)=1,COUNT(D12:F12)=3,MIN(D12:F12)&gt;=0,G12&gt;=0),"OK","À corriger"))</f>
        <v/>
      </c>
    </row>
    <row r="13" ht="28" customHeight="1">
      <c r="A13" s="21" t="n"/>
      <c r="B13" s="21" t="n"/>
      <c r="C13" s="21" t="n"/>
      <c r="D13" s="22" t="n"/>
      <c r="E13" s="22" t="n"/>
      <c r="F13" s="22" t="n"/>
      <c r="G13" s="26" t="str">
        <f>IF(A13="","",SUM(D13)-SUM(E13)-SUM(F13))</f>
        <v/>
      </c>
      <c r="H13" s="21" t="n"/>
      <c r="I13" s="27" t="str">
        <f>IF(COUNTA(A13:F13)=0,"",IF(AND(A13&lt;&gt;"",B13&lt;&gt;"",COUNTIF($A$8:$A$47,A13)=1,COUNTIF(Equipes,C13)=1,COUNT(D13:F13)=3,MIN(D13:F13)&gt;=0,G13&gt;=0),"OK","À corriger"))</f>
        <v/>
      </c>
    </row>
    <row r="14" ht="28" customHeight="1">
      <c r="A14" s="21" t="n"/>
      <c r="B14" s="21" t="n"/>
      <c r="C14" s="21" t="n"/>
      <c r="D14" s="22" t="n"/>
      <c r="E14" s="22" t="n"/>
      <c r="F14" s="22" t="n"/>
      <c r="G14" s="24" t="str">
        <f>IF(A14="","",SUM(D14)-SUM(E14)-SUM(F14))</f>
        <v/>
      </c>
      <c r="H14" s="21" t="n"/>
      <c r="I14" s="25" t="str">
        <f>IF(COUNTA(A14:F14)=0,"",IF(AND(A14&lt;&gt;"",B14&lt;&gt;"",COUNTIF($A$8:$A$47,A14)=1,COUNTIF(Equipes,C14)=1,COUNT(D14:F14)=3,MIN(D14:F14)&gt;=0,G14&gt;=0),"OK","À corriger"))</f>
        <v/>
      </c>
    </row>
    <row r="15" ht="28" customHeight="1">
      <c r="A15" s="21" t="n"/>
      <c r="B15" s="21" t="n"/>
      <c r="C15" s="21" t="n"/>
      <c r="D15" s="22" t="n"/>
      <c r="E15" s="22" t="n"/>
      <c r="F15" s="22" t="n"/>
      <c r="G15" s="26" t="str">
        <f>IF(A15="","",SUM(D15)-SUM(E15)-SUM(F15))</f>
        <v/>
      </c>
      <c r="H15" s="21" t="n"/>
      <c r="I15" s="27" t="str">
        <f>IF(COUNTA(A15:F15)=0,"",IF(AND(A15&lt;&gt;"",B15&lt;&gt;"",COUNTIF($A$8:$A$47,A15)=1,COUNTIF(Equipes,C15)=1,COUNT(D15:F15)=3,MIN(D15:F15)&gt;=0,G15&gt;=0),"OK","À corriger"))</f>
        <v/>
      </c>
    </row>
    <row r="16" ht="28" customHeight="1">
      <c r="A16" s="21" t="n"/>
      <c r="B16" s="21" t="n"/>
      <c r="C16" s="21" t="n"/>
      <c r="D16" s="22" t="n"/>
      <c r="E16" s="22" t="n"/>
      <c r="F16" s="22" t="n"/>
      <c r="G16" s="24" t="str">
        <f>IF(A16="","",SUM(D16)-SUM(E16)-SUM(F16))</f>
        <v/>
      </c>
      <c r="H16" s="21" t="n"/>
      <c r="I16" s="25" t="str">
        <f>IF(COUNTA(A16:F16)=0,"",IF(AND(A16&lt;&gt;"",B16&lt;&gt;"",COUNTIF($A$8:$A$47,A16)=1,COUNTIF(Equipes,C16)=1,COUNT(D16:F16)=3,MIN(D16:F16)&gt;=0,G16&gt;=0),"OK","À corriger"))</f>
        <v/>
      </c>
    </row>
    <row r="17" ht="28" customHeight="1">
      <c r="A17" s="21" t="n"/>
      <c r="B17" s="21" t="n"/>
      <c r="C17" s="21" t="n"/>
      <c r="D17" s="22" t="n"/>
      <c r="E17" s="22" t="n"/>
      <c r="F17" s="22" t="n"/>
      <c r="G17" s="26" t="str">
        <f>IF(A17="","",SUM(D17)-SUM(E17)-SUM(F17))</f>
        <v/>
      </c>
      <c r="H17" s="21" t="n"/>
      <c r="I17" s="27" t="str">
        <f>IF(COUNTA(A17:F17)=0,"",IF(AND(A17&lt;&gt;"",B17&lt;&gt;"",COUNTIF($A$8:$A$47,A17)=1,COUNTIF(Equipes,C17)=1,COUNT(D17:F17)=3,MIN(D17:F17)&gt;=0,G17&gt;=0),"OK","À corriger"))</f>
        <v/>
      </c>
    </row>
    <row r="18" ht="28" customHeight="1">
      <c r="A18" s="21" t="n"/>
      <c r="B18" s="21" t="n"/>
      <c r="C18" s="21" t="n"/>
      <c r="D18" s="22" t="n"/>
      <c r="E18" s="22" t="n"/>
      <c r="F18" s="22" t="n"/>
      <c r="G18" s="24" t="str">
        <f>IF(A18="","",SUM(D18)-SUM(E18)-SUM(F18))</f>
        <v/>
      </c>
      <c r="H18" s="21" t="n"/>
      <c r="I18" s="25" t="str">
        <f>IF(COUNTA(A18:F18)=0,"",IF(AND(A18&lt;&gt;"",B18&lt;&gt;"",COUNTIF($A$8:$A$47,A18)=1,COUNTIF(Equipes,C18)=1,COUNT(D18:F18)=3,MIN(D18:F18)&gt;=0,G18&gt;=0),"OK","À corriger"))</f>
        <v/>
      </c>
    </row>
    <row r="19" ht="28" customHeight="1">
      <c r="A19" s="21" t="n"/>
      <c r="B19" s="21" t="n"/>
      <c r="C19" s="21" t="n"/>
      <c r="D19" s="22" t="n"/>
      <c r="E19" s="22" t="n"/>
      <c r="F19" s="22" t="n"/>
      <c r="G19" s="26" t="str">
        <f>IF(A19="","",SUM(D19)-SUM(E19)-SUM(F19))</f>
        <v/>
      </c>
      <c r="H19" s="21" t="n"/>
      <c r="I19" s="27" t="str">
        <f>IF(COUNTA(A19:F19)=0,"",IF(AND(A19&lt;&gt;"",B19&lt;&gt;"",COUNTIF($A$8:$A$47,A19)=1,COUNTIF(Equipes,C19)=1,COUNT(D19:F19)=3,MIN(D19:F19)&gt;=0,G19&gt;=0),"OK","À corriger"))</f>
        <v/>
      </c>
    </row>
    <row r="20" ht="28" customHeight="1">
      <c r="A20" s="21" t="n"/>
      <c r="B20" s="21" t="n"/>
      <c r="C20" s="21" t="n"/>
      <c r="D20" s="22" t="n"/>
      <c r="E20" s="22" t="n"/>
      <c r="F20" s="22" t="n"/>
      <c r="G20" s="24" t="str">
        <f>IF(A20="","",SUM(D20)-SUM(E20)-SUM(F20))</f>
        <v/>
      </c>
      <c r="H20" s="21" t="n"/>
      <c r="I20" s="25" t="str">
        <f>IF(COUNTA(A20:F20)=0,"",IF(AND(A20&lt;&gt;"",B20&lt;&gt;"",COUNTIF($A$8:$A$47,A20)=1,COUNTIF(Equipes,C20)=1,COUNT(D20:F20)=3,MIN(D20:F20)&gt;=0,G20&gt;=0),"OK","À corriger"))</f>
        <v/>
      </c>
    </row>
    <row r="21" ht="28" customHeight="1">
      <c r="A21" s="21" t="n"/>
      <c r="B21" s="21" t="n"/>
      <c r="C21" s="21" t="n"/>
      <c r="D21" s="22" t="n"/>
      <c r="E21" s="22" t="n"/>
      <c r="F21" s="22" t="n"/>
      <c r="G21" s="26" t="str">
        <f>IF(A21="","",SUM(D21)-SUM(E21)-SUM(F21))</f>
        <v/>
      </c>
      <c r="H21" s="21" t="n"/>
      <c r="I21" s="27" t="str">
        <f>IF(COUNTA(A21:F21)=0,"",IF(AND(A21&lt;&gt;"",B21&lt;&gt;"",COUNTIF($A$8:$A$47,A21)=1,COUNTIF(Equipes,C21)=1,COUNT(D21:F21)=3,MIN(D21:F21)&gt;=0,G21&gt;=0),"OK","À corriger"))</f>
        <v/>
      </c>
    </row>
    <row r="22" ht="28" customHeight="1">
      <c r="A22" s="21" t="n"/>
      <c r="B22" s="21" t="n"/>
      <c r="C22" s="21" t="n"/>
      <c r="D22" s="22" t="n"/>
      <c r="E22" s="22" t="n"/>
      <c r="F22" s="22" t="n"/>
      <c r="G22" s="24" t="str">
        <f>IF(A22="","",SUM(D22)-SUM(E22)-SUM(F22))</f>
        <v/>
      </c>
      <c r="H22" s="21" t="n"/>
      <c r="I22" s="25" t="str">
        <f>IF(COUNTA(A22:F22)=0,"",IF(AND(A22&lt;&gt;"",B22&lt;&gt;"",COUNTIF($A$8:$A$47,A22)=1,COUNTIF(Equipes,C22)=1,COUNT(D22:F22)=3,MIN(D22:F22)&gt;=0,G22&gt;=0),"OK","À corriger"))</f>
        <v/>
      </c>
    </row>
    <row r="23" ht="28" customHeight="1">
      <c r="A23" s="21" t="n"/>
      <c r="B23" s="21" t="n"/>
      <c r="C23" s="21" t="n"/>
      <c r="D23" s="22" t="n"/>
      <c r="E23" s="22" t="n"/>
      <c r="F23" s="22" t="n"/>
      <c r="G23" s="26" t="str">
        <f>IF(A23="","",SUM(D23)-SUM(E23)-SUM(F23))</f>
        <v/>
      </c>
      <c r="H23" s="21" t="n"/>
      <c r="I23" s="27" t="str">
        <f>IF(COUNTA(A23:F23)=0,"",IF(AND(A23&lt;&gt;"",B23&lt;&gt;"",COUNTIF($A$8:$A$47,A23)=1,COUNTIF(Equipes,C23)=1,COUNT(D23:F23)=3,MIN(D23:F23)&gt;=0,G23&gt;=0),"OK","À corriger"))</f>
        <v/>
      </c>
    </row>
    <row r="24" ht="28" customHeight="1">
      <c r="A24" s="21" t="n"/>
      <c r="B24" s="21" t="n"/>
      <c r="C24" s="21" t="n"/>
      <c r="D24" s="22" t="n"/>
      <c r="E24" s="22" t="n"/>
      <c r="F24" s="22" t="n"/>
      <c r="G24" s="24" t="str">
        <f>IF(A24="","",SUM(D24)-SUM(E24)-SUM(F24))</f>
        <v/>
      </c>
      <c r="H24" s="21" t="n"/>
      <c r="I24" s="25" t="str">
        <f>IF(COUNTA(A24:F24)=0,"",IF(AND(A24&lt;&gt;"",B24&lt;&gt;"",COUNTIF($A$8:$A$47,A24)=1,COUNTIF(Equipes,C24)=1,COUNT(D24:F24)=3,MIN(D24:F24)&gt;=0,G24&gt;=0),"OK","À corriger"))</f>
        <v/>
      </c>
    </row>
    <row r="25" ht="28" customHeight="1">
      <c r="A25" s="21" t="n"/>
      <c r="B25" s="21" t="n"/>
      <c r="C25" s="21" t="n"/>
      <c r="D25" s="22" t="n"/>
      <c r="E25" s="22" t="n"/>
      <c r="F25" s="22" t="n"/>
      <c r="G25" s="26" t="str">
        <f>IF(A25="","",SUM(D25)-SUM(E25)-SUM(F25))</f>
        <v/>
      </c>
      <c r="H25" s="21" t="n"/>
      <c r="I25" s="27" t="str">
        <f>IF(COUNTA(A25:F25)=0,"",IF(AND(A25&lt;&gt;"",B25&lt;&gt;"",COUNTIF($A$8:$A$47,A25)=1,COUNTIF(Equipes,C25)=1,COUNT(D25:F25)=3,MIN(D25:F25)&gt;=0,G25&gt;=0),"OK","À corriger"))</f>
        <v/>
      </c>
    </row>
    <row r="26" ht="28" customHeight="1">
      <c r="A26" s="21" t="n"/>
      <c r="B26" s="21" t="n"/>
      <c r="C26" s="21" t="n"/>
      <c r="D26" s="22" t="n"/>
      <c r="E26" s="22" t="n"/>
      <c r="F26" s="22" t="n"/>
      <c r="G26" s="24" t="str">
        <f>IF(A26="","",SUM(D26)-SUM(E26)-SUM(F26))</f>
        <v/>
      </c>
      <c r="H26" s="21" t="n"/>
      <c r="I26" s="25" t="str">
        <f>IF(COUNTA(A26:F26)=0,"",IF(AND(A26&lt;&gt;"",B26&lt;&gt;"",COUNTIF($A$8:$A$47,A26)=1,COUNTIF(Equipes,C26)=1,COUNT(D26:F26)=3,MIN(D26:F26)&gt;=0,G26&gt;=0),"OK","À corriger"))</f>
        <v/>
      </c>
    </row>
    <row r="27" ht="28" customHeight="1">
      <c r="A27" s="21" t="n"/>
      <c r="B27" s="21" t="n"/>
      <c r="C27" s="21" t="n"/>
      <c r="D27" s="22" t="n"/>
      <c r="E27" s="22" t="n"/>
      <c r="F27" s="22" t="n"/>
      <c r="G27" s="26" t="str">
        <f>IF(A27="","",SUM(D27)-SUM(E27)-SUM(F27))</f>
        <v/>
      </c>
      <c r="H27" s="21" t="n"/>
      <c r="I27" s="27" t="str">
        <f>IF(COUNTA(A27:F27)=0,"",IF(AND(A27&lt;&gt;"",B27&lt;&gt;"",COUNTIF($A$8:$A$47,A27)=1,COUNTIF(Equipes,C27)=1,COUNT(D27:F27)=3,MIN(D27:F27)&gt;=0,G27&gt;=0),"OK","À corriger"))</f>
        <v/>
      </c>
    </row>
    <row r="28" ht="28" customHeight="1">
      <c r="A28" s="21" t="n"/>
      <c r="B28" s="21" t="n"/>
      <c r="C28" s="21" t="n"/>
      <c r="D28" s="22" t="n"/>
      <c r="E28" s="22" t="n"/>
      <c r="F28" s="22" t="n"/>
      <c r="G28" s="24" t="str">
        <f>IF(A28="","",SUM(D28)-SUM(E28)-SUM(F28))</f>
        <v/>
      </c>
      <c r="H28" s="21" t="n"/>
      <c r="I28" s="25" t="str">
        <f>IF(COUNTA(A28:F28)=0,"",IF(AND(A28&lt;&gt;"",B28&lt;&gt;"",COUNTIF($A$8:$A$47,A28)=1,COUNTIF(Equipes,C28)=1,COUNT(D28:F28)=3,MIN(D28:F28)&gt;=0,G28&gt;=0),"OK","À corriger"))</f>
        <v/>
      </c>
    </row>
    <row r="29" ht="28" customHeight="1">
      <c r="A29" s="21" t="n"/>
      <c r="B29" s="21" t="n"/>
      <c r="C29" s="21" t="n"/>
      <c r="D29" s="22" t="n"/>
      <c r="E29" s="22" t="n"/>
      <c r="F29" s="22" t="n"/>
      <c r="G29" s="26" t="str">
        <f>IF(A29="","",SUM(D29)-SUM(E29)-SUM(F29))</f>
        <v/>
      </c>
      <c r="H29" s="21" t="n"/>
      <c r="I29" s="27" t="str">
        <f>IF(COUNTA(A29:F29)=0,"",IF(AND(A29&lt;&gt;"",B29&lt;&gt;"",COUNTIF($A$8:$A$47,A29)=1,COUNTIF(Equipes,C29)=1,COUNT(D29:F29)=3,MIN(D29:F29)&gt;=0,G29&gt;=0),"OK","À corriger"))</f>
        <v/>
      </c>
    </row>
    <row r="30" ht="28" customHeight="1">
      <c r="A30" s="21" t="n"/>
      <c r="B30" s="21" t="n"/>
      <c r="C30" s="21" t="n"/>
      <c r="D30" s="22" t="n"/>
      <c r="E30" s="22" t="n"/>
      <c r="F30" s="22" t="n"/>
      <c r="G30" s="24" t="str">
        <f>IF(A30="","",SUM(D30)-SUM(E30)-SUM(F30))</f>
        <v/>
      </c>
      <c r="H30" s="21" t="n"/>
      <c r="I30" s="25" t="str">
        <f>IF(COUNTA(A30:F30)=0,"",IF(AND(A30&lt;&gt;"",B30&lt;&gt;"",COUNTIF($A$8:$A$47,A30)=1,COUNTIF(Equipes,C30)=1,COUNT(D30:F30)=3,MIN(D30:F30)&gt;=0,G30&gt;=0),"OK","À corriger"))</f>
        <v/>
      </c>
    </row>
    <row r="31" ht="28" customHeight="1">
      <c r="A31" s="21" t="n"/>
      <c r="B31" s="21" t="n"/>
      <c r="C31" s="21" t="n"/>
      <c r="D31" s="22" t="n"/>
      <c r="E31" s="22" t="n"/>
      <c r="F31" s="22" t="n"/>
      <c r="G31" s="26" t="str">
        <f>IF(A31="","",SUM(D31)-SUM(E31)-SUM(F31))</f>
        <v/>
      </c>
      <c r="H31" s="21" t="n"/>
      <c r="I31" s="27" t="str">
        <f>IF(COUNTA(A31:F31)=0,"",IF(AND(A31&lt;&gt;"",B31&lt;&gt;"",COUNTIF($A$8:$A$47,A31)=1,COUNTIF(Equipes,C31)=1,COUNT(D31:F31)=3,MIN(D31:F31)&gt;=0,G31&gt;=0),"OK","À corriger"))</f>
        <v/>
      </c>
    </row>
    <row r="32" ht="28" customHeight="1">
      <c r="A32" s="21" t="n"/>
      <c r="B32" s="21" t="n"/>
      <c r="C32" s="21" t="n"/>
      <c r="D32" s="22" t="n"/>
      <c r="E32" s="22" t="n"/>
      <c r="F32" s="22" t="n"/>
      <c r="G32" s="24" t="str">
        <f>IF(A32="","",SUM(D32)-SUM(E32)-SUM(F32))</f>
        <v/>
      </c>
      <c r="H32" s="21" t="n"/>
      <c r="I32" s="25" t="str">
        <f>IF(COUNTA(A32:F32)=0,"",IF(AND(A32&lt;&gt;"",B32&lt;&gt;"",COUNTIF($A$8:$A$47,A32)=1,COUNTIF(Equipes,C32)=1,COUNT(D32:F32)=3,MIN(D32:F32)&gt;=0,G32&gt;=0),"OK","À corriger"))</f>
        <v/>
      </c>
    </row>
    <row r="33" ht="28" customHeight="1">
      <c r="A33" s="21" t="n"/>
      <c r="B33" s="21" t="n"/>
      <c r="C33" s="21" t="n"/>
      <c r="D33" s="22" t="n"/>
      <c r="E33" s="22" t="n"/>
      <c r="F33" s="22" t="n"/>
      <c r="G33" s="26" t="str">
        <f>IF(A33="","",SUM(D33)-SUM(E33)-SUM(F33))</f>
        <v/>
      </c>
      <c r="H33" s="21" t="n"/>
      <c r="I33" s="27" t="str">
        <f>IF(COUNTA(A33:F33)=0,"",IF(AND(A33&lt;&gt;"",B33&lt;&gt;"",COUNTIF($A$8:$A$47,A33)=1,COUNTIF(Equipes,C33)=1,COUNT(D33:F33)=3,MIN(D33:F33)&gt;=0,G33&gt;=0),"OK","À corriger"))</f>
        <v/>
      </c>
    </row>
    <row r="34" ht="28" customHeight="1">
      <c r="A34" s="21" t="n"/>
      <c r="B34" s="21" t="n"/>
      <c r="C34" s="21" t="n"/>
      <c r="D34" s="22" t="n"/>
      <c r="E34" s="22" t="n"/>
      <c r="F34" s="22" t="n"/>
      <c r="G34" s="24" t="str">
        <f>IF(A34="","",SUM(D34)-SUM(E34)-SUM(F34))</f>
        <v/>
      </c>
      <c r="H34" s="21" t="n"/>
      <c r="I34" s="25" t="str">
        <f>IF(COUNTA(A34:F34)=0,"",IF(AND(A34&lt;&gt;"",B34&lt;&gt;"",COUNTIF($A$8:$A$47,A34)=1,COUNTIF(Equipes,C34)=1,COUNT(D34:F34)=3,MIN(D34:F34)&gt;=0,G34&gt;=0),"OK","À corriger"))</f>
        <v/>
      </c>
    </row>
    <row r="35" ht="28" customHeight="1">
      <c r="A35" s="21" t="n"/>
      <c r="B35" s="21" t="n"/>
      <c r="C35" s="21" t="n"/>
      <c r="D35" s="22" t="n"/>
      <c r="E35" s="22" t="n"/>
      <c r="F35" s="22" t="n"/>
      <c r="G35" s="26" t="str">
        <f>IF(A35="","",SUM(D35)-SUM(E35)-SUM(F35))</f>
        <v/>
      </c>
      <c r="H35" s="21" t="n"/>
      <c r="I35" s="27" t="str">
        <f>IF(COUNTA(A35:F35)=0,"",IF(AND(A35&lt;&gt;"",B35&lt;&gt;"",COUNTIF($A$8:$A$47,A35)=1,COUNTIF(Equipes,C35)=1,COUNT(D35:F35)=3,MIN(D35:F35)&gt;=0,G35&gt;=0),"OK","À corriger"))</f>
        <v/>
      </c>
    </row>
    <row r="36" ht="28" customHeight="1">
      <c r="A36" s="21" t="n"/>
      <c r="B36" s="21" t="n"/>
      <c r="C36" s="21" t="n"/>
      <c r="D36" s="22" t="n"/>
      <c r="E36" s="22" t="n"/>
      <c r="F36" s="22" t="n"/>
      <c r="G36" s="24" t="str">
        <f>IF(A36="","",SUM(D36)-SUM(E36)-SUM(F36))</f>
        <v/>
      </c>
      <c r="H36" s="21" t="n"/>
      <c r="I36" s="25" t="str">
        <f>IF(COUNTA(A36:F36)=0,"",IF(AND(A36&lt;&gt;"",B36&lt;&gt;"",COUNTIF($A$8:$A$47,A36)=1,COUNTIF(Equipes,C36)=1,COUNT(D36:F36)=3,MIN(D36:F36)&gt;=0,G36&gt;=0),"OK","À corriger"))</f>
        <v/>
      </c>
    </row>
    <row r="37" ht="28" customHeight="1">
      <c r="A37" s="21" t="n"/>
      <c r="B37" s="21" t="n"/>
      <c r="C37" s="21" t="n"/>
      <c r="D37" s="22" t="n"/>
      <c r="E37" s="22" t="n"/>
      <c r="F37" s="22" t="n"/>
      <c r="G37" s="26" t="str">
        <f>IF(A37="","",SUM(D37)-SUM(E37)-SUM(F37))</f>
        <v/>
      </c>
      <c r="H37" s="21" t="n"/>
      <c r="I37" s="27" t="str">
        <f>IF(COUNTA(A37:F37)=0,"",IF(AND(A37&lt;&gt;"",B37&lt;&gt;"",COUNTIF($A$8:$A$47,A37)=1,COUNTIF(Equipes,C37)=1,COUNT(D37:F37)=3,MIN(D37:F37)&gt;=0,G37&gt;=0),"OK","À corriger"))</f>
        <v/>
      </c>
    </row>
    <row r="38" ht="28" customHeight="1">
      <c r="A38" s="21" t="n"/>
      <c r="B38" s="21" t="n"/>
      <c r="C38" s="21" t="n"/>
      <c r="D38" s="22" t="n"/>
      <c r="E38" s="22" t="n"/>
      <c r="F38" s="22" t="n"/>
      <c r="G38" s="24" t="str">
        <f>IF(A38="","",SUM(D38)-SUM(E38)-SUM(F38))</f>
        <v/>
      </c>
      <c r="H38" s="21" t="n"/>
      <c r="I38" s="25" t="str">
        <f>IF(COUNTA(A38:F38)=0,"",IF(AND(A38&lt;&gt;"",B38&lt;&gt;"",COUNTIF($A$8:$A$47,A38)=1,COUNTIF(Equipes,C38)=1,COUNT(D38:F38)=3,MIN(D38:F38)&gt;=0,G38&gt;=0),"OK","À corriger"))</f>
        <v/>
      </c>
    </row>
    <row r="39" ht="28" customHeight="1">
      <c r="A39" s="21" t="n"/>
      <c r="B39" s="21" t="n"/>
      <c r="C39" s="21" t="n"/>
      <c r="D39" s="22" t="n"/>
      <c r="E39" s="22" t="n"/>
      <c r="F39" s="22" t="n"/>
      <c r="G39" s="26" t="str">
        <f>IF(A39="","",SUM(D39)-SUM(E39)-SUM(F39))</f>
        <v/>
      </c>
      <c r="H39" s="21" t="n"/>
      <c r="I39" s="27" t="str">
        <f>IF(COUNTA(A39:F39)=0,"",IF(AND(A39&lt;&gt;"",B39&lt;&gt;"",COUNTIF($A$8:$A$47,A39)=1,COUNTIF(Equipes,C39)=1,COUNT(D39:F39)=3,MIN(D39:F39)&gt;=0,G39&gt;=0),"OK","À corriger"))</f>
        <v/>
      </c>
    </row>
    <row r="40" ht="28" customHeight="1">
      <c r="A40" s="21" t="n"/>
      <c r="B40" s="21" t="n"/>
      <c r="C40" s="21" t="n"/>
      <c r="D40" s="22" t="n"/>
      <c r="E40" s="22" t="n"/>
      <c r="F40" s="22" t="n"/>
      <c r="G40" s="24" t="str">
        <f>IF(A40="","",SUM(D40)-SUM(E40)-SUM(F40))</f>
        <v/>
      </c>
      <c r="H40" s="21" t="n"/>
      <c r="I40" s="25" t="str">
        <f>IF(COUNTA(A40:F40)=0,"",IF(AND(A40&lt;&gt;"",B40&lt;&gt;"",COUNTIF($A$8:$A$47,A40)=1,COUNTIF(Equipes,C40)=1,COUNT(D40:F40)=3,MIN(D40:F40)&gt;=0,G40&gt;=0),"OK","À corriger"))</f>
        <v/>
      </c>
    </row>
    <row r="41" ht="28" customHeight="1">
      <c r="A41" s="21" t="n"/>
      <c r="B41" s="21" t="n"/>
      <c r="C41" s="21" t="n"/>
      <c r="D41" s="22" t="n"/>
      <c r="E41" s="22" t="n"/>
      <c r="F41" s="22" t="n"/>
      <c r="G41" s="26" t="str">
        <f>IF(A41="","",SUM(D41)-SUM(E41)-SUM(F41))</f>
        <v/>
      </c>
      <c r="H41" s="21" t="n"/>
      <c r="I41" s="27" t="str">
        <f>IF(COUNTA(A41:F41)=0,"",IF(AND(A41&lt;&gt;"",B41&lt;&gt;"",COUNTIF($A$8:$A$47,A41)=1,COUNTIF(Equipes,C41)=1,COUNT(D41:F41)=3,MIN(D41:F41)&gt;=0,G41&gt;=0),"OK","À corriger"))</f>
        <v/>
      </c>
    </row>
    <row r="42" ht="28" customHeight="1">
      <c r="A42" s="21" t="n"/>
      <c r="B42" s="21" t="n"/>
      <c r="C42" s="21" t="n"/>
      <c r="D42" s="22" t="n"/>
      <c r="E42" s="22" t="n"/>
      <c r="F42" s="22" t="n"/>
      <c r="G42" s="24" t="str">
        <f>IF(A42="","",SUM(D42)-SUM(E42)-SUM(F42))</f>
        <v/>
      </c>
      <c r="H42" s="21" t="n"/>
      <c r="I42" s="25" t="str">
        <f>IF(COUNTA(A42:F42)=0,"",IF(AND(A42&lt;&gt;"",B42&lt;&gt;"",COUNTIF($A$8:$A$47,A42)=1,COUNTIF(Equipes,C42)=1,COUNT(D42:F42)=3,MIN(D42:F42)&gt;=0,G42&gt;=0),"OK","À corriger"))</f>
        <v/>
      </c>
    </row>
    <row r="43" ht="28" customHeight="1">
      <c r="A43" s="21" t="n"/>
      <c r="B43" s="21" t="n"/>
      <c r="C43" s="21" t="n"/>
      <c r="D43" s="22" t="n"/>
      <c r="E43" s="22" t="n"/>
      <c r="F43" s="22" t="n"/>
      <c r="G43" s="26" t="str">
        <f>IF(A43="","",SUM(D43)-SUM(E43)-SUM(F43))</f>
        <v/>
      </c>
      <c r="H43" s="21" t="n"/>
      <c r="I43" s="27" t="str">
        <f>IF(COUNTA(A43:F43)=0,"",IF(AND(A43&lt;&gt;"",B43&lt;&gt;"",COUNTIF($A$8:$A$47,A43)=1,COUNTIF(Equipes,C43)=1,COUNT(D43:F43)=3,MIN(D43:F43)&gt;=0,G43&gt;=0),"OK","À corriger"))</f>
        <v/>
      </c>
    </row>
    <row r="44" ht="28" customHeight="1">
      <c r="A44" s="21" t="n"/>
      <c r="B44" s="21" t="n"/>
      <c r="C44" s="21" t="n"/>
      <c r="D44" s="22" t="n"/>
      <c r="E44" s="22" t="n"/>
      <c r="F44" s="22" t="n"/>
      <c r="G44" s="24" t="str">
        <f>IF(A44="","",SUM(D44)-SUM(E44)-SUM(F44))</f>
        <v/>
      </c>
      <c r="H44" s="21" t="n"/>
      <c r="I44" s="25" t="str">
        <f>IF(COUNTA(A44:F44)=0,"",IF(AND(A44&lt;&gt;"",B44&lt;&gt;"",COUNTIF($A$8:$A$47,A44)=1,COUNTIF(Equipes,C44)=1,COUNT(D44:F44)=3,MIN(D44:F44)&gt;=0,G44&gt;=0),"OK","À corriger"))</f>
        <v/>
      </c>
    </row>
    <row r="45" ht="28" customHeight="1">
      <c r="A45" s="21" t="n"/>
      <c r="B45" s="21" t="n"/>
      <c r="C45" s="21" t="n"/>
      <c r="D45" s="22" t="n"/>
      <c r="E45" s="22" t="n"/>
      <c r="F45" s="22" t="n"/>
      <c r="G45" s="26" t="str">
        <f>IF(A45="","",SUM(D45)-SUM(E45)-SUM(F45))</f>
        <v/>
      </c>
      <c r="H45" s="21" t="n"/>
      <c r="I45" s="27" t="str">
        <f>IF(COUNTA(A45:F45)=0,"",IF(AND(A45&lt;&gt;"",B45&lt;&gt;"",COUNTIF($A$8:$A$47,A45)=1,COUNTIF(Equipes,C45)=1,COUNT(D45:F45)=3,MIN(D45:F45)&gt;=0,G45&gt;=0),"OK","À corriger"))</f>
        <v/>
      </c>
    </row>
    <row r="46" ht="28" customHeight="1">
      <c r="A46" s="21" t="n"/>
      <c r="B46" s="21" t="n"/>
      <c r="C46" s="21" t="n"/>
      <c r="D46" s="22" t="n"/>
      <c r="E46" s="22" t="n"/>
      <c r="F46" s="22" t="n"/>
      <c r="G46" s="24" t="str">
        <f>IF(A46="","",SUM(D46)-SUM(E46)-SUM(F46))</f>
        <v/>
      </c>
      <c r="H46" s="21" t="n"/>
      <c r="I46" s="25" t="str">
        <f>IF(COUNTA(A46:F46)=0,"",IF(AND(A46&lt;&gt;"",B46&lt;&gt;"",COUNTIF($A$8:$A$47,A46)=1,COUNTIF(Equipes,C46)=1,COUNT(D46:F46)=3,MIN(D46:F46)&gt;=0,G46&gt;=0),"OK","À corriger"))</f>
        <v/>
      </c>
    </row>
    <row r="47" ht="28" customHeight="1">
      <c r="A47" s="21" t="n"/>
      <c r="B47" s="21" t="n"/>
      <c r="C47" s="21" t="n"/>
      <c r="D47" s="22" t="n"/>
      <c r="E47" s="22" t="n"/>
      <c r="F47" s="22" t="n"/>
      <c r="G47" s="26" t="str">
        <f>IF(A47="","",SUM(D47)-SUM(E47)-SUM(F47))</f>
        <v/>
      </c>
      <c r="H47" s="21" t="n"/>
      <c r="I47" s="27" t="str">
        <f>IF(COUNTA(A47:F47)=0,"",IF(AND(A47&lt;&gt;"",B47&lt;&gt;"",COUNTIF($A$8:$A$47,A47)=1,COUNTIF(Equipes,C47)=1,COUNT(D47:F47)=3,MIN(D47:F47)&gt;=0,G47&gt;=0),"OK","À corriger"))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J2"/>
    <mergeCell ref="A4:J5"/>
  </mergeCells>
  <conditionalFormatting sqref="I8:I47">
    <cfRule type="expression" priority="1" dxfId="0">
      <formula>AND(I8&lt;&gt;"",I8&lt;&gt;"OK")</formula>
    </cfRule>
  </conditionalFormatting>
  <conditionalFormatting sqref="G8:G47">
    <cfRule type="cellIs" priority="2" operator="lessThan" dxfId="1">
      <formula>0</formula>
    </cfRule>
  </conditionalFormatting>
  <dataValidations count="2">
    <dataValidation sqref="C8:C47" showDropDown="0" showInputMessage="0" showErrorMessage="1" allowBlank="1" errorTitle="Saisie à corriger" error="Utilisez une valeur autorisée. Les contrôles repèrent aussi les erreurs collées." type="list" errorStyle="stop">
      <formula1>=Equipes</formula1>
    </dataValidation>
    <dataValidation sqref="D8:F47" showDropDown="0" showInputMessage="0" showErrorMessage="1" allowBlank="1" errorTitle="Saisie à corriger" error="Utilisez une valeur autorisée. Les contrôles repèrent aussi les erreurs collées." type="decimal" errorStyle="stop" operator="greaterThanOrEqual">
      <formula1>0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L6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  <col width="30" customWidth="1" min="4" max="4"/>
    <col width="13" customWidth="1" min="5" max="5"/>
    <col width="13" customWidth="1" min="6" max="6"/>
    <col width="13" customWidth="1" min="7" max="7"/>
    <col width="13" customWidth="1" min="8" max="8"/>
    <col width="30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03 / Projets et options d’engagement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A et B sont des choix à comparer. La colonne Retenu suit le scénario sélectionné dans Paramètres. Aucun score ne décide à votre place.</t>
        </is>
      </c>
    </row>
    <row r="5" ht="20" customHeight="1"/>
    <row r="7" ht="36" customHeight="1">
      <c r="A7" s="23" t="inlineStr">
        <is>
          <t>ID unique</t>
        </is>
      </c>
      <c r="B7" s="23" t="inlineStr">
        <is>
          <t>Projet</t>
        </is>
      </c>
      <c r="C7" s="23" t="inlineStr">
        <is>
          <t>Sponsor</t>
        </is>
      </c>
      <c r="D7" s="23" t="inlineStr">
        <is>
          <t>Contrainte / date</t>
        </is>
      </c>
      <c r="E7" s="23" t="inlineStr">
        <is>
          <t>Option A</t>
        </is>
      </c>
      <c r="F7" s="23" t="inlineStr">
        <is>
          <t>Option B</t>
        </is>
      </c>
      <c r="G7" s="23" t="inlineStr">
        <is>
          <t>Retenu</t>
        </is>
      </c>
      <c r="H7" s="23" t="inlineStr">
        <is>
          <t>Charge totale (j)</t>
        </is>
      </c>
      <c r="I7" s="23" t="inlineStr">
        <is>
          <t>Motif / conséquence du report</t>
        </is>
      </c>
      <c r="J7" s="23" t="inlineStr">
        <is>
          <t>Contrôle</t>
        </is>
      </c>
    </row>
    <row r="8" ht="28" customHeight="1">
      <c r="A8" s="21" t="n"/>
      <c r="B8" s="21" t="n"/>
      <c r="C8" s="21" t="n"/>
      <c r="D8" s="21" t="n"/>
      <c r="E8" s="21" t="n"/>
      <c r="F8" s="21" t="n"/>
      <c r="G8" s="25" t="str">
        <f>IF(A8="","",IF(Paramètres!$B$10="Tous","Engager",IF(Paramètres!$B$10="A",E8,F8)))</f>
        <v/>
      </c>
      <c r="H8" s="24" t="str">
        <f>IF(A8="","",SUMIF(Charges!$A$8:$A$247,A8,Calculs!$R$8:$R$247))</f>
        <v/>
      </c>
      <c r="I8" s="21" t="n"/>
      <c r="J8" s="25" t="str">
        <f>IF(COUNTA(A8:F8)=0,"",IF(AND(A8&lt;&gt;"",B8&lt;&gt;"",COUNTIF($A$8:$A$67,A8)=1,OR(E8="Engager",E8="Reporter"),OR(F8="Engager",F8="Reporter")),IF(COUNTIF(Charges!$A$8:$A$247,A8)=0,"Sans estimation","OK"),"À corriger"))</f>
        <v/>
      </c>
    </row>
    <row r="9" ht="28" customHeight="1">
      <c r="A9" s="21" t="n"/>
      <c r="B9" s="21" t="n"/>
      <c r="C9" s="21" t="n"/>
      <c r="D9" s="21" t="n"/>
      <c r="E9" s="21" t="n"/>
      <c r="F9" s="21" t="n"/>
      <c r="G9" s="27" t="str">
        <f>IF(A9="","",IF(Paramètres!$B$10="Tous","Engager",IF(Paramètres!$B$10="A",E9,F9)))</f>
        <v/>
      </c>
      <c r="H9" s="26" t="str">
        <f>IF(A9="","",SUMIF(Charges!$A$8:$A$247,A9,Calculs!$R$8:$R$247))</f>
        <v/>
      </c>
      <c r="I9" s="21" t="n"/>
      <c r="J9" s="27" t="str">
        <f>IF(COUNTA(A9:F9)=0,"",IF(AND(A9&lt;&gt;"",B9&lt;&gt;"",COUNTIF($A$8:$A$67,A9)=1,OR(E9="Engager",E9="Reporter"),OR(F9="Engager",F9="Reporter")),IF(COUNTIF(Charges!$A$8:$A$247,A9)=0,"Sans estimation","OK"),"À corriger"))</f>
        <v/>
      </c>
    </row>
    <row r="10" ht="28" customHeight="1">
      <c r="A10" s="21" t="n"/>
      <c r="B10" s="21" t="n"/>
      <c r="C10" s="21" t="n"/>
      <c r="D10" s="21" t="n"/>
      <c r="E10" s="21" t="n"/>
      <c r="F10" s="21" t="n"/>
      <c r="G10" s="25" t="str">
        <f>IF(A10="","",IF(Paramètres!$B$10="Tous","Engager",IF(Paramètres!$B$10="A",E10,F10)))</f>
        <v/>
      </c>
      <c r="H10" s="24" t="str">
        <f>IF(A10="","",SUMIF(Charges!$A$8:$A$247,A10,Calculs!$R$8:$R$247))</f>
        <v/>
      </c>
      <c r="I10" s="21" t="n"/>
      <c r="J10" s="25" t="str">
        <f>IF(COUNTA(A10:F10)=0,"",IF(AND(A10&lt;&gt;"",B10&lt;&gt;"",COUNTIF($A$8:$A$67,A10)=1,OR(E10="Engager",E10="Reporter"),OR(F10="Engager",F10="Reporter")),IF(COUNTIF(Charges!$A$8:$A$247,A10)=0,"Sans estimation","OK"),"À corriger"))</f>
        <v/>
      </c>
    </row>
    <row r="11" ht="28" customHeight="1">
      <c r="A11" s="21" t="n"/>
      <c r="B11" s="21" t="n"/>
      <c r="C11" s="21" t="n"/>
      <c r="D11" s="21" t="n"/>
      <c r="E11" s="21" t="n"/>
      <c r="F11" s="21" t="n"/>
      <c r="G11" s="27" t="str">
        <f>IF(A11="","",IF(Paramètres!$B$10="Tous","Engager",IF(Paramètres!$B$10="A",E11,F11)))</f>
        <v/>
      </c>
      <c r="H11" s="26" t="str">
        <f>IF(A11="","",SUMIF(Charges!$A$8:$A$247,A11,Calculs!$R$8:$R$247))</f>
        <v/>
      </c>
      <c r="I11" s="21" t="n"/>
      <c r="J11" s="27" t="str">
        <f>IF(COUNTA(A11:F11)=0,"",IF(AND(A11&lt;&gt;"",B11&lt;&gt;"",COUNTIF($A$8:$A$67,A11)=1,OR(E11="Engager",E11="Reporter"),OR(F11="Engager",F11="Reporter")),IF(COUNTIF(Charges!$A$8:$A$247,A11)=0,"Sans estimation","OK"),"À corriger"))</f>
        <v/>
      </c>
    </row>
    <row r="12" ht="28" customHeight="1">
      <c r="A12" s="21" t="n"/>
      <c r="B12" s="21" t="n"/>
      <c r="C12" s="21" t="n"/>
      <c r="D12" s="21" t="n"/>
      <c r="E12" s="21" t="n"/>
      <c r="F12" s="21" t="n"/>
      <c r="G12" s="25" t="str">
        <f>IF(A12="","",IF(Paramètres!$B$10="Tous","Engager",IF(Paramètres!$B$10="A",E12,F12)))</f>
        <v/>
      </c>
      <c r="H12" s="24" t="str">
        <f>IF(A12="","",SUMIF(Charges!$A$8:$A$247,A12,Calculs!$R$8:$R$247))</f>
        <v/>
      </c>
      <c r="I12" s="21" t="n"/>
      <c r="J12" s="25" t="str">
        <f>IF(COUNTA(A12:F12)=0,"",IF(AND(A12&lt;&gt;"",B12&lt;&gt;"",COUNTIF($A$8:$A$67,A12)=1,OR(E12="Engager",E12="Reporter"),OR(F12="Engager",F12="Reporter")),IF(COUNTIF(Charges!$A$8:$A$247,A12)=0,"Sans estimation","OK"),"À corriger"))</f>
        <v/>
      </c>
    </row>
    <row r="13" ht="28" customHeight="1">
      <c r="A13" s="21" t="n"/>
      <c r="B13" s="21" t="n"/>
      <c r="C13" s="21" t="n"/>
      <c r="D13" s="21" t="n"/>
      <c r="E13" s="21" t="n"/>
      <c r="F13" s="21" t="n"/>
      <c r="G13" s="27" t="str">
        <f>IF(A13="","",IF(Paramètres!$B$10="Tous","Engager",IF(Paramètres!$B$10="A",E13,F13)))</f>
        <v/>
      </c>
      <c r="H13" s="26" t="str">
        <f>IF(A13="","",SUMIF(Charges!$A$8:$A$247,A13,Calculs!$R$8:$R$247))</f>
        <v/>
      </c>
      <c r="I13" s="21" t="n"/>
      <c r="J13" s="27" t="str">
        <f>IF(COUNTA(A13:F13)=0,"",IF(AND(A13&lt;&gt;"",B13&lt;&gt;"",COUNTIF($A$8:$A$67,A13)=1,OR(E13="Engager",E13="Reporter"),OR(F13="Engager",F13="Reporter")),IF(COUNTIF(Charges!$A$8:$A$247,A13)=0,"Sans estimation","OK"),"À corriger"))</f>
        <v/>
      </c>
    </row>
    <row r="14" ht="28" customHeight="1">
      <c r="A14" s="21" t="n"/>
      <c r="B14" s="21" t="n"/>
      <c r="C14" s="21" t="n"/>
      <c r="D14" s="21" t="n"/>
      <c r="E14" s="21" t="n"/>
      <c r="F14" s="21" t="n"/>
      <c r="G14" s="25" t="str">
        <f>IF(A14="","",IF(Paramètres!$B$10="Tous","Engager",IF(Paramètres!$B$10="A",E14,F14)))</f>
        <v/>
      </c>
      <c r="H14" s="24" t="str">
        <f>IF(A14="","",SUMIF(Charges!$A$8:$A$247,A14,Calculs!$R$8:$R$247))</f>
        <v/>
      </c>
      <c r="I14" s="21" t="n"/>
      <c r="J14" s="25" t="str">
        <f>IF(COUNTA(A14:F14)=0,"",IF(AND(A14&lt;&gt;"",B14&lt;&gt;"",COUNTIF($A$8:$A$67,A14)=1,OR(E14="Engager",E14="Reporter"),OR(F14="Engager",F14="Reporter")),IF(COUNTIF(Charges!$A$8:$A$247,A14)=0,"Sans estimation","OK"),"À corriger"))</f>
        <v/>
      </c>
    </row>
    <row r="15" ht="28" customHeight="1">
      <c r="A15" s="21" t="n"/>
      <c r="B15" s="21" t="n"/>
      <c r="C15" s="21" t="n"/>
      <c r="D15" s="21" t="n"/>
      <c r="E15" s="21" t="n"/>
      <c r="F15" s="21" t="n"/>
      <c r="G15" s="27" t="str">
        <f>IF(A15="","",IF(Paramètres!$B$10="Tous","Engager",IF(Paramètres!$B$10="A",E15,F15)))</f>
        <v/>
      </c>
      <c r="H15" s="26" t="str">
        <f>IF(A15="","",SUMIF(Charges!$A$8:$A$247,A15,Calculs!$R$8:$R$247))</f>
        <v/>
      </c>
      <c r="I15" s="21" t="n"/>
      <c r="J15" s="27" t="str">
        <f>IF(COUNTA(A15:F15)=0,"",IF(AND(A15&lt;&gt;"",B15&lt;&gt;"",COUNTIF($A$8:$A$67,A15)=1,OR(E15="Engager",E15="Reporter"),OR(F15="Engager",F15="Reporter")),IF(COUNTIF(Charges!$A$8:$A$247,A15)=0,"Sans estimation","OK"),"À corriger"))</f>
        <v/>
      </c>
    </row>
    <row r="16" ht="28" customHeight="1">
      <c r="A16" s="21" t="n"/>
      <c r="B16" s="21" t="n"/>
      <c r="C16" s="21" t="n"/>
      <c r="D16" s="21" t="n"/>
      <c r="E16" s="21" t="n"/>
      <c r="F16" s="21" t="n"/>
      <c r="G16" s="25" t="str">
        <f>IF(A16="","",IF(Paramètres!$B$10="Tous","Engager",IF(Paramètres!$B$10="A",E16,F16)))</f>
        <v/>
      </c>
      <c r="H16" s="24" t="str">
        <f>IF(A16="","",SUMIF(Charges!$A$8:$A$247,A16,Calculs!$R$8:$R$247))</f>
        <v/>
      </c>
      <c r="I16" s="21" t="n"/>
      <c r="J16" s="25" t="str">
        <f>IF(COUNTA(A16:F16)=0,"",IF(AND(A16&lt;&gt;"",B16&lt;&gt;"",COUNTIF($A$8:$A$67,A16)=1,OR(E16="Engager",E16="Reporter"),OR(F16="Engager",F16="Reporter")),IF(COUNTIF(Charges!$A$8:$A$247,A16)=0,"Sans estimation","OK"),"À corriger"))</f>
        <v/>
      </c>
    </row>
    <row r="17" ht="28" customHeight="1">
      <c r="A17" s="21" t="n"/>
      <c r="B17" s="21" t="n"/>
      <c r="C17" s="21" t="n"/>
      <c r="D17" s="21" t="n"/>
      <c r="E17" s="21" t="n"/>
      <c r="F17" s="21" t="n"/>
      <c r="G17" s="27" t="str">
        <f>IF(A17="","",IF(Paramètres!$B$10="Tous","Engager",IF(Paramètres!$B$10="A",E17,F17)))</f>
        <v/>
      </c>
      <c r="H17" s="26" t="str">
        <f>IF(A17="","",SUMIF(Charges!$A$8:$A$247,A17,Calculs!$R$8:$R$247))</f>
        <v/>
      </c>
      <c r="I17" s="21" t="n"/>
      <c r="J17" s="27" t="str">
        <f>IF(COUNTA(A17:F17)=0,"",IF(AND(A17&lt;&gt;"",B17&lt;&gt;"",COUNTIF($A$8:$A$67,A17)=1,OR(E17="Engager",E17="Reporter"),OR(F17="Engager",F17="Reporter")),IF(COUNTIF(Charges!$A$8:$A$247,A17)=0,"Sans estimation","OK"),"À corriger"))</f>
        <v/>
      </c>
    </row>
    <row r="18" ht="28" customHeight="1">
      <c r="A18" s="21" t="n"/>
      <c r="B18" s="21" t="n"/>
      <c r="C18" s="21" t="n"/>
      <c r="D18" s="21" t="n"/>
      <c r="E18" s="21" t="n"/>
      <c r="F18" s="21" t="n"/>
      <c r="G18" s="25" t="str">
        <f>IF(A18="","",IF(Paramètres!$B$10="Tous","Engager",IF(Paramètres!$B$10="A",E18,F18)))</f>
        <v/>
      </c>
      <c r="H18" s="24" t="str">
        <f>IF(A18="","",SUMIF(Charges!$A$8:$A$247,A18,Calculs!$R$8:$R$247))</f>
        <v/>
      </c>
      <c r="I18" s="21" t="n"/>
      <c r="J18" s="25" t="str">
        <f>IF(COUNTA(A18:F18)=0,"",IF(AND(A18&lt;&gt;"",B18&lt;&gt;"",COUNTIF($A$8:$A$67,A18)=1,OR(E18="Engager",E18="Reporter"),OR(F18="Engager",F18="Reporter")),IF(COUNTIF(Charges!$A$8:$A$247,A18)=0,"Sans estimation","OK"),"À corriger"))</f>
        <v/>
      </c>
    </row>
    <row r="19" ht="28" customHeight="1">
      <c r="A19" s="21" t="n"/>
      <c r="B19" s="21" t="n"/>
      <c r="C19" s="21" t="n"/>
      <c r="D19" s="21" t="n"/>
      <c r="E19" s="21" t="n"/>
      <c r="F19" s="21" t="n"/>
      <c r="G19" s="27" t="str">
        <f>IF(A19="","",IF(Paramètres!$B$10="Tous","Engager",IF(Paramètres!$B$10="A",E19,F19)))</f>
        <v/>
      </c>
      <c r="H19" s="26" t="str">
        <f>IF(A19="","",SUMIF(Charges!$A$8:$A$247,A19,Calculs!$R$8:$R$247))</f>
        <v/>
      </c>
      <c r="I19" s="21" t="n"/>
      <c r="J19" s="27" t="str">
        <f>IF(COUNTA(A19:F19)=0,"",IF(AND(A19&lt;&gt;"",B19&lt;&gt;"",COUNTIF($A$8:$A$67,A19)=1,OR(E19="Engager",E19="Reporter"),OR(F19="Engager",F19="Reporter")),IF(COUNTIF(Charges!$A$8:$A$247,A19)=0,"Sans estimation","OK"),"À corriger"))</f>
        <v/>
      </c>
    </row>
    <row r="20" ht="28" customHeight="1">
      <c r="A20" s="21" t="n"/>
      <c r="B20" s="21" t="n"/>
      <c r="C20" s="21" t="n"/>
      <c r="D20" s="21" t="n"/>
      <c r="E20" s="21" t="n"/>
      <c r="F20" s="21" t="n"/>
      <c r="G20" s="25" t="str">
        <f>IF(A20="","",IF(Paramètres!$B$10="Tous","Engager",IF(Paramètres!$B$10="A",E20,F20)))</f>
        <v/>
      </c>
      <c r="H20" s="24" t="str">
        <f>IF(A20="","",SUMIF(Charges!$A$8:$A$247,A20,Calculs!$R$8:$R$247))</f>
        <v/>
      </c>
      <c r="I20" s="21" t="n"/>
      <c r="J20" s="25" t="str">
        <f>IF(COUNTA(A20:F20)=0,"",IF(AND(A20&lt;&gt;"",B20&lt;&gt;"",COUNTIF($A$8:$A$67,A20)=1,OR(E20="Engager",E20="Reporter"),OR(F20="Engager",F20="Reporter")),IF(COUNTIF(Charges!$A$8:$A$247,A20)=0,"Sans estimation","OK"),"À corriger"))</f>
        <v/>
      </c>
    </row>
    <row r="21" ht="28" customHeight="1">
      <c r="A21" s="21" t="n"/>
      <c r="B21" s="21" t="n"/>
      <c r="C21" s="21" t="n"/>
      <c r="D21" s="21" t="n"/>
      <c r="E21" s="21" t="n"/>
      <c r="F21" s="21" t="n"/>
      <c r="G21" s="27" t="str">
        <f>IF(A21="","",IF(Paramètres!$B$10="Tous","Engager",IF(Paramètres!$B$10="A",E21,F21)))</f>
        <v/>
      </c>
      <c r="H21" s="26" t="str">
        <f>IF(A21="","",SUMIF(Charges!$A$8:$A$247,A21,Calculs!$R$8:$R$247))</f>
        <v/>
      </c>
      <c r="I21" s="21" t="n"/>
      <c r="J21" s="27" t="str">
        <f>IF(COUNTA(A21:F21)=0,"",IF(AND(A21&lt;&gt;"",B21&lt;&gt;"",COUNTIF($A$8:$A$67,A21)=1,OR(E21="Engager",E21="Reporter"),OR(F21="Engager",F21="Reporter")),IF(COUNTIF(Charges!$A$8:$A$247,A21)=0,"Sans estimation","OK"),"À corriger"))</f>
        <v/>
      </c>
    </row>
    <row r="22" ht="28" customHeight="1">
      <c r="A22" s="21" t="n"/>
      <c r="B22" s="21" t="n"/>
      <c r="C22" s="21" t="n"/>
      <c r="D22" s="21" t="n"/>
      <c r="E22" s="21" t="n"/>
      <c r="F22" s="21" t="n"/>
      <c r="G22" s="25" t="str">
        <f>IF(A22="","",IF(Paramètres!$B$10="Tous","Engager",IF(Paramètres!$B$10="A",E22,F22)))</f>
        <v/>
      </c>
      <c r="H22" s="24" t="str">
        <f>IF(A22="","",SUMIF(Charges!$A$8:$A$247,A22,Calculs!$R$8:$R$247))</f>
        <v/>
      </c>
      <c r="I22" s="21" t="n"/>
      <c r="J22" s="25" t="str">
        <f>IF(COUNTA(A22:F22)=0,"",IF(AND(A22&lt;&gt;"",B22&lt;&gt;"",COUNTIF($A$8:$A$67,A22)=1,OR(E22="Engager",E22="Reporter"),OR(F22="Engager",F22="Reporter")),IF(COUNTIF(Charges!$A$8:$A$247,A22)=0,"Sans estimation","OK"),"À corriger"))</f>
        <v/>
      </c>
    </row>
    <row r="23" ht="28" customHeight="1">
      <c r="A23" s="21" t="n"/>
      <c r="B23" s="21" t="n"/>
      <c r="C23" s="21" t="n"/>
      <c r="D23" s="21" t="n"/>
      <c r="E23" s="21" t="n"/>
      <c r="F23" s="21" t="n"/>
      <c r="G23" s="27" t="str">
        <f>IF(A23="","",IF(Paramètres!$B$10="Tous","Engager",IF(Paramètres!$B$10="A",E23,F23)))</f>
        <v/>
      </c>
      <c r="H23" s="26" t="str">
        <f>IF(A23="","",SUMIF(Charges!$A$8:$A$247,A23,Calculs!$R$8:$R$247))</f>
        <v/>
      </c>
      <c r="I23" s="21" t="n"/>
      <c r="J23" s="27" t="str">
        <f>IF(COUNTA(A23:F23)=0,"",IF(AND(A23&lt;&gt;"",B23&lt;&gt;"",COUNTIF($A$8:$A$67,A23)=1,OR(E23="Engager",E23="Reporter"),OR(F23="Engager",F23="Reporter")),IF(COUNTIF(Charges!$A$8:$A$247,A23)=0,"Sans estimation","OK"),"À corriger"))</f>
        <v/>
      </c>
    </row>
    <row r="24" ht="28" customHeight="1">
      <c r="A24" s="21" t="n"/>
      <c r="B24" s="21" t="n"/>
      <c r="C24" s="21" t="n"/>
      <c r="D24" s="21" t="n"/>
      <c r="E24" s="21" t="n"/>
      <c r="F24" s="21" t="n"/>
      <c r="G24" s="25" t="str">
        <f>IF(A24="","",IF(Paramètres!$B$10="Tous","Engager",IF(Paramètres!$B$10="A",E24,F24)))</f>
        <v/>
      </c>
      <c r="H24" s="24" t="str">
        <f>IF(A24="","",SUMIF(Charges!$A$8:$A$247,A24,Calculs!$R$8:$R$247))</f>
        <v/>
      </c>
      <c r="I24" s="21" t="n"/>
      <c r="J24" s="25" t="str">
        <f>IF(COUNTA(A24:F24)=0,"",IF(AND(A24&lt;&gt;"",B24&lt;&gt;"",COUNTIF($A$8:$A$67,A24)=1,OR(E24="Engager",E24="Reporter"),OR(F24="Engager",F24="Reporter")),IF(COUNTIF(Charges!$A$8:$A$247,A24)=0,"Sans estimation","OK"),"À corriger"))</f>
        <v/>
      </c>
    </row>
    <row r="25" ht="28" customHeight="1">
      <c r="A25" s="21" t="n"/>
      <c r="B25" s="21" t="n"/>
      <c r="C25" s="21" t="n"/>
      <c r="D25" s="21" t="n"/>
      <c r="E25" s="21" t="n"/>
      <c r="F25" s="21" t="n"/>
      <c r="G25" s="27" t="str">
        <f>IF(A25="","",IF(Paramètres!$B$10="Tous","Engager",IF(Paramètres!$B$10="A",E25,F25)))</f>
        <v/>
      </c>
      <c r="H25" s="26" t="str">
        <f>IF(A25="","",SUMIF(Charges!$A$8:$A$247,A25,Calculs!$R$8:$R$247))</f>
        <v/>
      </c>
      <c r="I25" s="21" t="n"/>
      <c r="J25" s="27" t="str">
        <f>IF(COUNTA(A25:F25)=0,"",IF(AND(A25&lt;&gt;"",B25&lt;&gt;"",COUNTIF($A$8:$A$67,A25)=1,OR(E25="Engager",E25="Reporter"),OR(F25="Engager",F25="Reporter")),IF(COUNTIF(Charges!$A$8:$A$247,A25)=0,"Sans estimation","OK"),"À corriger"))</f>
        <v/>
      </c>
    </row>
    <row r="26" ht="28" customHeight="1">
      <c r="A26" s="21" t="n"/>
      <c r="B26" s="21" t="n"/>
      <c r="C26" s="21" t="n"/>
      <c r="D26" s="21" t="n"/>
      <c r="E26" s="21" t="n"/>
      <c r="F26" s="21" t="n"/>
      <c r="G26" s="25" t="str">
        <f>IF(A26="","",IF(Paramètres!$B$10="Tous","Engager",IF(Paramètres!$B$10="A",E26,F26)))</f>
        <v/>
      </c>
      <c r="H26" s="24" t="str">
        <f>IF(A26="","",SUMIF(Charges!$A$8:$A$247,A26,Calculs!$R$8:$R$247))</f>
        <v/>
      </c>
      <c r="I26" s="21" t="n"/>
      <c r="J26" s="25" t="str">
        <f>IF(COUNTA(A26:F26)=0,"",IF(AND(A26&lt;&gt;"",B26&lt;&gt;"",COUNTIF($A$8:$A$67,A26)=1,OR(E26="Engager",E26="Reporter"),OR(F26="Engager",F26="Reporter")),IF(COUNTIF(Charges!$A$8:$A$247,A26)=0,"Sans estimation","OK"),"À corriger"))</f>
        <v/>
      </c>
    </row>
    <row r="27" ht="28" customHeight="1">
      <c r="A27" s="21" t="n"/>
      <c r="B27" s="21" t="n"/>
      <c r="C27" s="21" t="n"/>
      <c r="D27" s="21" t="n"/>
      <c r="E27" s="21" t="n"/>
      <c r="F27" s="21" t="n"/>
      <c r="G27" s="27" t="str">
        <f>IF(A27="","",IF(Paramètres!$B$10="Tous","Engager",IF(Paramètres!$B$10="A",E27,F27)))</f>
        <v/>
      </c>
      <c r="H27" s="26" t="str">
        <f>IF(A27="","",SUMIF(Charges!$A$8:$A$247,A27,Calculs!$R$8:$R$247))</f>
        <v/>
      </c>
      <c r="I27" s="21" t="n"/>
      <c r="J27" s="27" t="str">
        <f>IF(COUNTA(A27:F27)=0,"",IF(AND(A27&lt;&gt;"",B27&lt;&gt;"",COUNTIF($A$8:$A$67,A27)=1,OR(E27="Engager",E27="Reporter"),OR(F27="Engager",F27="Reporter")),IF(COUNTIF(Charges!$A$8:$A$247,A27)=0,"Sans estimation","OK"),"À corriger"))</f>
        <v/>
      </c>
    </row>
    <row r="28" ht="28" customHeight="1">
      <c r="A28" s="21" t="n"/>
      <c r="B28" s="21" t="n"/>
      <c r="C28" s="21" t="n"/>
      <c r="D28" s="21" t="n"/>
      <c r="E28" s="21" t="n"/>
      <c r="F28" s="21" t="n"/>
      <c r="G28" s="25" t="str">
        <f>IF(A28="","",IF(Paramètres!$B$10="Tous","Engager",IF(Paramètres!$B$10="A",E28,F28)))</f>
        <v/>
      </c>
      <c r="H28" s="24" t="str">
        <f>IF(A28="","",SUMIF(Charges!$A$8:$A$247,A28,Calculs!$R$8:$R$247))</f>
        <v/>
      </c>
      <c r="I28" s="21" t="n"/>
      <c r="J28" s="25" t="str">
        <f>IF(COUNTA(A28:F28)=0,"",IF(AND(A28&lt;&gt;"",B28&lt;&gt;"",COUNTIF($A$8:$A$67,A28)=1,OR(E28="Engager",E28="Reporter"),OR(F28="Engager",F28="Reporter")),IF(COUNTIF(Charges!$A$8:$A$247,A28)=0,"Sans estimation","OK"),"À corriger"))</f>
        <v/>
      </c>
    </row>
    <row r="29" ht="28" customHeight="1">
      <c r="A29" s="21" t="n"/>
      <c r="B29" s="21" t="n"/>
      <c r="C29" s="21" t="n"/>
      <c r="D29" s="21" t="n"/>
      <c r="E29" s="21" t="n"/>
      <c r="F29" s="21" t="n"/>
      <c r="G29" s="27" t="str">
        <f>IF(A29="","",IF(Paramètres!$B$10="Tous","Engager",IF(Paramètres!$B$10="A",E29,F29)))</f>
        <v/>
      </c>
      <c r="H29" s="26" t="str">
        <f>IF(A29="","",SUMIF(Charges!$A$8:$A$247,A29,Calculs!$R$8:$R$247))</f>
        <v/>
      </c>
      <c r="I29" s="21" t="n"/>
      <c r="J29" s="27" t="str">
        <f>IF(COUNTA(A29:F29)=0,"",IF(AND(A29&lt;&gt;"",B29&lt;&gt;"",COUNTIF($A$8:$A$67,A29)=1,OR(E29="Engager",E29="Reporter"),OR(F29="Engager",F29="Reporter")),IF(COUNTIF(Charges!$A$8:$A$247,A29)=0,"Sans estimation","OK"),"À corriger"))</f>
        <v/>
      </c>
    </row>
    <row r="30" ht="28" customHeight="1">
      <c r="A30" s="21" t="n"/>
      <c r="B30" s="21" t="n"/>
      <c r="C30" s="21" t="n"/>
      <c r="D30" s="21" t="n"/>
      <c r="E30" s="21" t="n"/>
      <c r="F30" s="21" t="n"/>
      <c r="G30" s="25" t="str">
        <f>IF(A30="","",IF(Paramètres!$B$10="Tous","Engager",IF(Paramètres!$B$10="A",E30,F30)))</f>
        <v/>
      </c>
      <c r="H30" s="24" t="str">
        <f>IF(A30="","",SUMIF(Charges!$A$8:$A$247,A30,Calculs!$R$8:$R$247))</f>
        <v/>
      </c>
      <c r="I30" s="21" t="n"/>
      <c r="J30" s="25" t="str">
        <f>IF(COUNTA(A30:F30)=0,"",IF(AND(A30&lt;&gt;"",B30&lt;&gt;"",COUNTIF($A$8:$A$67,A30)=1,OR(E30="Engager",E30="Reporter"),OR(F30="Engager",F30="Reporter")),IF(COUNTIF(Charges!$A$8:$A$247,A30)=0,"Sans estimation","OK"),"À corriger"))</f>
        <v/>
      </c>
    </row>
    <row r="31" ht="28" customHeight="1">
      <c r="A31" s="21" t="n"/>
      <c r="B31" s="21" t="n"/>
      <c r="C31" s="21" t="n"/>
      <c r="D31" s="21" t="n"/>
      <c r="E31" s="21" t="n"/>
      <c r="F31" s="21" t="n"/>
      <c r="G31" s="27" t="str">
        <f>IF(A31="","",IF(Paramètres!$B$10="Tous","Engager",IF(Paramètres!$B$10="A",E31,F31)))</f>
        <v/>
      </c>
      <c r="H31" s="26" t="str">
        <f>IF(A31="","",SUMIF(Charges!$A$8:$A$247,A31,Calculs!$R$8:$R$247))</f>
        <v/>
      </c>
      <c r="I31" s="21" t="n"/>
      <c r="J31" s="27" t="str">
        <f>IF(COUNTA(A31:F31)=0,"",IF(AND(A31&lt;&gt;"",B31&lt;&gt;"",COUNTIF($A$8:$A$67,A31)=1,OR(E31="Engager",E31="Reporter"),OR(F31="Engager",F31="Reporter")),IF(COUNTIF(Charges!$A$8:$A$247,A31)=0,"Sans estimation","OK"),"À corriger"))</f>
        <v/>
      </c>
    </row>
    <row r="32" ht="28" customHeight="1">
      <c r="A32" s="21" t="n"/>
      <c r="B32" s="21" t="n"/>
      <c r="C32" s="21" t="n"/>
      <c r="D32" s="21" t="n"/>
      <c r="E32" s="21" t="n"/>
      <c r="F32" s="21" t="n"/>
      <c r="G32" s="25" t="str">
        <f>IF(A32="","",IF(Paramètres!$B$10="Tous","Engager",IF(Paramètres!$B$10="A",E32,F32)))</f>
        <v/>
      </c>
      <c r="H32" s="24" t="str">
        <f>IF(A32="","",SUMIF(Charges!$A$8:$A$247,A32,Calculs!$R$8:$R$247))</f>
        <v/>
      </c>
      <c r="I32" s="21" t="n"/>
      <c r="J32" s="25" t="str">
        <f>IF(COUNTA(A32:F32)=0,"",IF(AND(A32&lt;&gt;"",B32&lt;&gt;"",COUNTIF($A$8:$A$67,A32)=1,OR(E32="Engager",E32="Reporter"),OR(F32="Engager",F32="Reporter")),IF(COUNTIF(Charges!$A$8:$A$247,A32)=0,"Sans estimation","OK"),"À corriger"))</f>
        <v/>
      </c>
    </row>
    <row r="33" ht="28" customHeight="1">
      <c r="A33" s="21" t="n"/>
      <c r="B33" s="21" t="n"/>
      <c r="C33" s="21" t="n"/>
      <c r="D33" s="21" t="n"/>
      <c r="E33" s="21" t="n"/>
      <c r="F33" s="21" t="n"/>
      <c r="G33" s="27" t="str">
        <f>IF(A33="","",IF(Paramètres!$B$10="Tous","Engager",IF(Paramètres!$B$10="A",E33,F33)))</f>
        <v/>
      </c>
      <c r="H33" s="26" t="str">
        <f>IF(A33="","",SUMIF(Charges!$A$8:$A$247,A33,Calculs!$R$8:$R$247))</f>
        <v/>
      </c>
      <c r="I33" s="21" t="n"/>
      <c r="J33" s="27" t="str">
        <f>IF(COUNTA(A33:F33)=0,"",IF(AND(A33&lt;&gt;"",B33&lt;&gt;"",COUNTIF($A$8:$A$67,A33)=1,OR(E33="Engager",E33="Reporter"),OR(F33="Engager",F33="Reporter")),IF(COUNTIF(Charges!$A$8:$A$247,A33)=0,"Sans estimation","OK"),"À corriger"))</f>
        <v/>
      </c>
    </row>
    <row r="34" ht="28" customHeight="1">
      <c r="A34" s="21" t="n"/>
      <c r="B34" s="21" t="n"/>
      <c r="C34" s="21" t="n"/>
      <c r="D34" s="21" t="n"/>
      <c r="E34" s="21" t="n"/>
      <c r="F34" s="21" t="n"/>
      <c r="G34" s="25" t="str">
        <f>IF(A34="","",IF(Paramètres!$B$10="Tous","Engager",IF(Paramètres!$B$10="A",E34,F34)))</f>
        <v/>
      </c>
      <c r="H34" s="24" t="str">
        <f>IF(A34="","",SUMIF(Charges!$A$8:$A$247,A34,Calculs!$R$8:$R$247))</f>
        <v/>
      </c>
      <c r="I34" s="21" t="n"/>
      <c r="J34" s="25" t="str">
        <f>IF(COUNTA(A34:F34)=0,"",IF(AND(A34&lt;&gt;"",B34&lt;&gt;"",COUNTIF($A$8:$A$67,A34)=1,OR(E34="Engager",E34="Reporter"),OR(F34="Engager",F34="Reporter")),IF(COUNTIF(Charges!$A$8:$A$247,A34)=0,"Sans estimation","OK"),"À corriger"))</f>
        <v/>
      </c>
    </row>
    <row r="35" ht="28" customHeight="1">
      <c r="A35" s="21" t="n"/>
      <c r="B35" s="21" t="n"/>
      <c r="C35" s="21" t="n"/>
      <c r="D35" s="21" t="n"/>
      <c r="E35" s="21" t="n"/>
      <c r="F35" s="21" t="n"/>
      <c r="G35" s="27" t="str">
        <f>IF(A35="","",IF(Paramètres!$B$10="Tous","Engager",IF(Paramètres!$B$10="A",E35,F35)))</f>
        <v/>
      </c>
      <c r="H35" s="26" t="str">
        <f>IF(A35="","",SUMIF(Charges!$A$8:$A$247,A35,Calculs!$R$8:$R$247))</f>
        <v/>
      </c>
      <c r="I35" s="21" t="n"/>
      <c r="J35" s="27" t="str">
        <f>IF(COUNTA(A35:F35)=0,"",IF(AND(A35&lt;&gt;"",B35&lt;&gt;"",COUNTIF($A$8:$A$67,A35)=1,OR(E35="Engager",E35="Reporter"),OR(F35="Engager",F35="Reporter")),IF(COUNTIF(Charges!$A$8:$A$247,A35)=0,"Sans estimation","OK"),"À corriger"))</f>
        <v/>
      </c>
    </row>
    <row r="36" ht="28" customHeight="1">
      <c r="A36" s="21" t="n"/>
      <c r="B36" s="21" t="n"/>
      <c r="C36" s="21" t="n"/>
      <c r="D36" s="21" t="n"/>
      <c r="E36" s="21" t="n"/>
      <c r="F36" s="21" t="n"/>
      <c r="G36" s="25" t="str">
        <f>IF(A36="","",IF(Paramètres!$B$10="Tous","Engager",IF(Paramètres!$B$10="A",E36,F36)))</f>
        <v/>
      </c>
      <c r="H36" s="24" t="str">
        <f>IF(A36="","",SUMIF(Charges!$A$8:$A$247,A36,Calculs!$R$8:$R$247))</f>
        <v/>
      </c>
      <c r="I36" s="21" t="n"/>
      <c r="J36" s="25" t="str">
        <f>IF(COUNTA(A36:F36)=0,"",IF(AND(A36&lt;&gt;"",B36&lt;&gt;"",COUNTIF($A$8:$A$67,A36)=1,OR(E36="Engager",E36="Reporter"),OR(F36="Engager",F36="Reporter")),IF(COUNTIF(Charges!$A$8:$A$247,A36)=0,"Sans estimation","OK"),"À corriger"))</f>
        <v/>
      </c>
    </row>
    <row r="37" ht="28" customHeight="1">
      <c r="A37" s="21" t="n"/>
      <c r="B37" s="21" t="n"/>
      <c r="C37" s="21" t="n"/>
      <c r="D37" s="21" t="n"/>
      <c r="E37" s="21" t="n"/>
      <c r="F37" s="21" t="n"/>
      <c r="G37" s="27" t="str">
        <f>IF(A37="","",IF(Paramètres!$B$10="Tous","Engager",IF(Paramètres!$B$10="A",E37,F37)))</f>
        <v/>
      </c>
      <c r="H37" s="26" t="str">
        <f>IF(A37="","",SUMIF(Charges!$A$8:$A$247,A37,Calculs!$R$8:$R$247))</f>
        <v/>
      </c>
      <c r="I37" s="21" t="n"/>
      <c r="J37" s="27" t="str">
        <f>IF(COUNTA(A37:F37)=0,"",IF(AND(A37&lt;&gt;"",B37&lt;&gt;"",COUNTIF($A$8:$A$67,A37)=1,OR(E37="Engager",E37="Reporter"),OR(F37="Engager",F37="Reporter")),IF(COUNTIF(Charges!$A$8:$A$247,A37)=0,"Sans estimation","OK"),"À corriger"))</f>
        <v/>
      </c>
    </row>
    <row r="38" ht="28" customHeight="1">
      <c r="A38" s="21" t="n"/>
      <c r="B38" s="21" t="n"/>
      <c r="C38" s="21" t="n"/>
      <c r="D38" s="21" t="n"/>
      <c r="E38" s="21" t="n"/>
      <c r="F38" s="21" t="n"/>
      <c r="G38" s="25" t="str">
        <f>IF(A38="","",IF(Paramètres!$B$10="Tous","Engager",IF(Paramètres!$B$10="A",E38,F38)))</f>
        <v/>
      </c>
      <c r="H38" s="24" t="str">
        <f>IF(A38="","",SUMIF(Charges!$A$8:$A$247,A38,Calculs!$R$8:$R$247))</f>
        <v/>
      </c>
      <c r="I38" s="21" t="n"/>
      <c r="J38" s="25" t="str">
        <f>IF(COUNTA(A38:F38)=0,"",IF(AND(A38&lt;&gt;"",B38&lt;&gt;"",COUNTIF($A$8:$A$67,A38)=1,OR(E38="Engager",E38="Reporter"),OR(F38="Engager",F38="Reporter")),IF(COUNTIF(Charges!$A$8:$A$247,A38)=0,"Sans estimation","OK"),"À corriger"))</f>
        <v/>
      </c>
    </row>
    <row r="39" ht="28" customHeight="1">
      <c r="A39" s="21" t="n"/>
      <c r="B39" s="21" t="n"/>
      <c r="C39" s="21" t="n"/>
      <c r="D39" s="21" t="n"/>
      <c r="E39" s="21" t="n"/>
      <c r="F39" s="21" t="n"/>
      <c r="G39" s="27" t="str">
        <f>IF(A39="","",IF(Paramètres!$B$10="Tous","Engager",IF(Paramètres!$B$10="A",E39,F39)))</f>
        <v/>
      </c>
      <c r="H39" s="26" t="str">
        <f>IF(A39="","",SUMIF(Charges!$A$8:$A$247,A39,Calculs!$R$8:$R$247))</f>
        <v/>
      </c>
      <c r="I39" s="21" t="n"/>
      <c r="J39" s="27" t="str">
        <f>IF(COUNTA(A39:F39)=0,"",IF(AND(A39&lt;&gt;"",B39&lt;&gt;"",COUNTIF($A$8:$A$67,A39)=1,OR(E39="Engager",E39="Reporter"),OR(F39="Engager",F39="Reporter")),IF(COUNTIF(Charges!$A$8:$A$247,A39)=0,"Sans estimation","OK"),"À corriger"))</f>
        <v/>
      </c>
    </row>
    <row r="40" ht="28" customHeight="1">
      <c r="A40" s="21" t="n"/>
      <c r="B40" s="21" t="n"/>
      <c r="C40" s="21" t="n"/>
      <c r="D40" s="21" t="n"/>
      <c r="E40" s="21" t="n"/>
      <c r="F40" s="21" t="n"/>
      <c r="G40" s="25" t="str">
        <f>IF(A40="","",IF(Paramètres!$B$10="Tous","Engager",IF(Paramètres!$B$10="A",E40,F40)))</f>
        <v/>
      </c>
      <c r="H40" s="24" t="str">
        <f>IF(A40="","",SUMIF(Charges!$A$8:$A$247,A40,Calculs!$R$8:$R$247))</f>
        <v/>
      </c>
      <c r="I40" s="21" t="n"/>
      <c r="J40" s="25" t="str">
        <f>IF(COUNTA(A40:F40)=0,"",IF(AND(A40&lt;&gt;"",B40&lt;&gt;"",COUNTIF($A$8:$A$67,A40)=1,OR(E40="Engager",E40="Reporter"),OR(F40="Engager",F40="Reporter")),IF(COUNTIF(Charges!$A$8:$A$247,A40)=0,"Sans estimation","OK"),"À corriger"))</f>
        <v/>
      </c>
    </row>
    <row r="41" ht="28" customHeight="1">
      <c r="A41" s="21" t="n"/>
      <c r="B41" s="21" t="n"/>
      <c r="C41" s="21" t="n"/>
      <c r="D41" s="21" t="n"/>
      <c r="E41" s="21" t="n"/>
      <c r="F41" s="21" t="n"/>
      <c r="G41" s="27" t="str">
        <f>IF(A41="","",IF(Paramètres!$B$10="Tous","Engager",IF(Paramètres!$B$10="A",E41,F41)))</f>
        <v/>
      </c>
      <c r="H41" s="26" t="str">
        <f>IF(A41="","",SUMIF(Charges!$A$8:$A$247,A41,Calculs!$R$8:$R$247))</f>
        <v/>
      </c>
      <c r="I41" s="21" t="n"/>
      <c r="J41" s="27" t="str">
        <f>IF(COUNTA(A41:F41)=0,"",IF(AND(A41&lt;&gt;"",B41&lt;&gt;"",COUNTIF($A$8:$A$67,A41)=1,OR(E41="Engager",E41="Reporter"),OR(F41="Engager",F41="Reporter")),IF(COUNTIF(Charges!$A$8:$A$247,A41)=0,"Sans estimation","OK"),"À corriger"))</f>
        <v/>
      </c>
    </row>
    <row r="42" ht="28" customHeight="1">
      <c r="A42" s="21" t="n"/>
      <c r="B42" s="21" t="n"/>
      <c r="C42" s="21" t="n"/>
      <c r="D42" s="21" t="n"/>
      <c r="E42" s="21" t="n"/>
      <c r="F42" s="21" t="n"/>
      <c r="G42" s="25" t="str">
        <f>IF(A42="","",IF(Paramètres!$B$10="Tous","Engager",IF(Paramètres!$B$10="A",E42,F42)))</f>
        <v/>
      </c>
      <c r="H42" s="24" t="str">
        <f>IF(A42="","",SUMIF(Charges!$A$8:$A$247,A42,Calculs!$R$8:$R$247))</f>
        <v/>
      </c>
      <c r="I42" s="21" t="n"/>
      <c r="J42" s="25" t="str">
        <f>IF(COUNTA(A42:F42)=0,"",IF(AND(A42&lt;&gt;"",B42&lt;&gt;"",COUNTIF($A$8:$A$67,A42)=1,OR(E42="Engager",E42="Reporter"),OR(F42="Engager",F42="Reporter")),IF(COUNTIF(Charges!$A$8:$A$247,A42)=0,"Sans estimation","OK"),"À corriger"))</f>
        <v/>
      </c>
    </row>
    <row r="43" ht="28" customHeight="1">
      <c r="A43" s="21" t="n"/>
      <c r="B43" s="21" t="n"/>
      <c r="C43" s="21" t="n"/>
      <c r="D43" s="21" t="n"/>
      <c r="E43" s="21" t="n"/>
      <c r="F43" s="21" t="n"/>
      <c r="G43" s="27" t="str">
        <f>IF(A43="","",IF(Paramètres!$B$10="Tous","Engager",IF(Paramètres!$B$10="A",E43,F43)))</f>
        <v/>
      </c>
      <c r="H43" s="26" t="str">
        <f>IF(A43="","",SUMIF(Charges!$A$8:$A$247,A43,Calculs!$R$8:$R$247))</f>
        <v/>
      </c>
      <c r="I43" s="21" t="n"/>
      <c r="J43" s="27" t="str">
        <f>IF(COUNTA(A43:F43)=0,"",IF(AND(A43&lt;&gt;"",B43&lt;&gt;"",COUNTIF($A$8:$A$67,A43)=1,OR(E43="Engager",E43="Reporter"),OR(F43="Engager",F43="Reporter")),IF(COUNTIF(Charges!$A$8:$A$247,A43)=0,"Sans estimation","OK"),"À corriger"))</f>
        <v/>
      </c>
    </row>
    <row r="44" ht="28" customHeight="1">
      <c r="A44" s="21" t="n"/>
      <c r="B44" s="21" t="n"/>
      <c r="C44" s="21" t="n"/>
      <c r="D44" s="21" t="n"/>
      <c r="E44" s="21" t="n"/>
      <c r="F44" s="21" t="n"/>
      <c r="G44" s="25" t="str">
        <f>IF(A44="","",IF(Paramètres!$B$10="Tous","Engager",IF(Paramètres!$B$10="A",E44,F44)))</f>
        <v/>
      </c>
      <c r="H44" s="24" t="str">
        <f>IF(A44="","",SUMIF(Charges!$A$8:$A$247,A44,Calculs!$R$8:$R$247))</f>
        <v/>
      </c>
      <c r="I44" s="21" t="n"/>
      <c r="J44" s="25" t="str">
        <f>IF(COUNTA(A44:F44)=0,"",IF(AND(A44&lt;&gt;"",B44&lt;&gt;"",COUNTIF($A$8:$A$67,A44)=1,OR(E44="Engager",E44="Reporter"),OR(F44="Engager",F44="Reporter")),IF(COUNTIF(Charges!$A$8:$A$247,A44)=0,"Sans estimation","OK"),"À corriger"))</f>
        <v/>
      </c>
    </row>
    <row r="45" ht="28" customHeight="1">
      <c r="A45" s="21" t="n"/>
      <c r="B45" s="21" t="n"/>
      <c r="C45" s="21" t="n"/>
      <c r="D45" s="21" t="n"/>
      <c r="E45" s="21" t="n"/>
      <c r="F45" s="21" t="n"/>
      <c r="G45" s="27" t="str">
        <f>IF(A45="","",IF(Paramètres!$B$10="Tous","Engager",IF(Paramètres!$B$10="A",E45,F45)))</f>
        <v/>
      </c>
      <c r="H45" s="26" t="str">
        <f>IF(A45="","",SUMIF(Charges!$A$8:$A$247,A45,Calculs!$R$8:$R$247))</f>
        <v/>
      </c>
      <c r="I45" s="21" t="n"/>
      <c r="J45" s="27" t="str">
        <f>IF(COUNTA(A45:F45)=0,"",IF(AND(A45&lt;&gt;"",B45&lt;&gt;"",COUNTIF($A$8:$A$67,A45)=1,OR(E45="Engager",E45="Reporter"),OR(F45="Engager",F45="Reporter")),IF(COUNTIF(Charges!$A$8:$A$247,A45)=0,"Sans estimation","OK"),"À corriger"))</f>
        <v/>
      </c>
    </row>
    <row r="46" ht="28" customHeight="1">
      <c r="A46" s="21" t="n"/>
      <c r="B46" s="21" t="n"/>
      <c r="C46" s="21" t="n"/>
      <c r="D46" s="21" t="n"/>
      <c r="E46" s="21" t="n"/>
      <c r="F46" s="21" t="n"/>
      <c r="G46" s="25" t="str">
        <f>IF(A46="","",IF(Paramètres!$B$10="Tous","Engager",IF(Paramètres!$B$10="A",E46,F46)))</f>
        <v/>
      </c>
      <c r="H46" s="24" t="str">
        <f>IF(A46="","",SUMIF(Charges!$A$8:$A$247,A46,Calculs!$R$8:$R$247))</f>
        <v/>
      </c>
      <c r="I46" s="21" t="n"/>
      <c r="J46" s="25" t="str">
        <f>IF(COUNTA(A46:F46)=0,"",IF(AND(A46&lt;&gt;"",B46&lt;&gt;"",COUNTIF($A$8:$A$67,A46)=1,OR(E46="Engager",E46="Reporter"),OR(F46="Engager",F46="Reporter")),IF(COUNTIF(Charges!$A$8:$A$247,A46)=0,"Sans estimation","OK"),"À corriger"))</f>
        <v/>
      </c>
    </row>
    <row r="47" ht="28" customHeight="1">
      <c r="A47" s="21" t="n"/>
      <c r="B47" s="21" t="n"/>
      <c r="C47" s="21" t="n"/>
      <c r="D47" s="21" t="n"/>
      <c r="E47" s="21" t="n"/>
      <c r="F47" s="21" t="n"/>
      <c r="G47" s="27" t="str">
        <f>IF(A47="","",IF(Paramètres!$B$10="Tous","Engager",IF(Paramètres!$B$10="A",E47,F47)))</f>
        <v/>
      </c>
      <c r="H47" s="26" t="str">
        <f>IF(A47="","",SUMIF(Charges!$A$8:$A$247,A47,Calculs!$R$8:$R$247))</f>
        <v/>
      </c>
      <c r="I47" s="21" t="n"/>
      <c r="J47" s="27" t="str">
        <f>IF(COUNTA(A47:F47)=0,"",IF(AND(A47&lt;&gt;"",B47&lt;&gt;"",COUNTIF($A$8:$A$67,A47)=1,OR(E47="Engager",E47="Reporter"),OR(F47="Engager",F47="Reporter")),IF(COUNTIF(Charges!$A$8:$A$247,A47)=0,"Sans estimation","OK"),"À corriger"))</f>
        <v/>
      </c>
    </row>
    <row r="48" ht="28" customHeight="1">
      <c r="A48" s="21" t="n"/>
      <c r="B48" s="21" t="n"/>
      <c r="C48" s="21" t="n"/>
      <c r="D48" s="21" t="n"/>
      <c r="E48" s="21" t="n"/>
      <c r="F48" s="21" t="n"/>
      <c r="G48" s="25" t="str">
        <f>IF(A48="","",IF(Paramètres!$B$10="Tous","Engager",IF(Paramètres!$B$10="A",E48,F48)))</f>
        <v/>
      </c>
      <c r="H48" s="24" t="str">
        <f>IF(A48="","",SUMIF(Charges!$A$8:$A$247,A48,Calculs!$R$8:$R$247))</f>
        <v/>
      </c>
      <c r="I48" s="21" t="n"/>
      <c r="J48" s="25" t="str">
        <f>IF(COUNTA(A48:F48)=0,"",IF(AND(A48&lt;&gt;"",B48&lt;&gt;"",COUNTIF($A$8:$A$67,A48)=1,OR(E48="Engager",E48="Reporter"),OR(F48="Engager",F48="Reporter")),IF(COUNTIF(Charges!$A$8:$A$247,A48)=0,"Sans estimation","OK"),"À corriger"))</f>
        <v/>
      </c>
    </row>
    <row r="49" ht="28" customHeight="1">
      <c r="A49" s="21" t="n"/>
      <c r="B49" s="21" t="n"/>
      <c r="C49" s="21" t="n"/>
      <c r="D49" s="21" t="n"/>
      <c r="E49" s="21" t="n"/>
      <c r="F49" s="21" t="n"/>
      <c r="G49" s="27" t="str">
        <f>IF(A49="","",IF(Paramètres!$B$10="Tous","Engager",IF(Paramètres!$B$10="A",E49,F49)))</f>
        <v/>
      </c>
      <c r="H49" s="26" t="str">
        <f>IF(A49="","",SUMIF(Charges!$A$8:$A$247,A49,Calculs!$R$8:$R$247))</f>
        <v/>
      </c>
      <c r="I49" s="21" t="n"/>
      <c r="J49" s="27" t="str">
        <f>IF(COUNTA(A49:F49)=0,"",IF(AND(A49&lt;&gt;"",B49&lt;&gt;"",COUNTIF($A$8:$A$67,A49)=1,OR(E49="Engager",E49="Reporter"),OR(F49="Engager",F49="Reporter")),IF(COUNTIF(Charges!$A$8:$A$247,A49)=0,"Sans estimation","OK"),"À corriger"))</f>
        <v/>
      </c>
    </row>
    <row r="50" ht="28" customHeight="1">
      <c r="A50" s="21" t="n"/>
      <c r="B50" s="21" t="n"/>
      <c r="C50" s="21" t="n"/>
      <c r="D50" s="21" t="n"/>
      <c r="E50" s="21" t="n"/>
      <c r="F50" s="21" t="n"/>
      <c r="G50" s="25" t="str">
        <f>IF(A50="","",IF(Paramètres!$B$10="Tous","Engager",IF(Paramètres!$B$10="A",E50,F50)))</f>
        <v/>
      </c>
      <c r="H50" s="24" t="str">
        <f>IF(A50="","",SUMIF(Charges!$A$8:$A$247,A50,Calculs!$R$8:$R$247))</f>
        <v/>
      </c>
      <c r="I50" s="21" t="n"/>
      <c r="J50" s="25" t="str">
        <f>IF(COUNTA(A50:F50)=0,"",IF(AND(A50&lt;&gt;"",B50&lt;&gt;"",COUNTIF($A$8:$A$67,A50)=1,OR(E50="Engager",E50="Reporter"),OR(F50="Engager",F50="Reporter")),IF(COUNTIF(Charges!$A$8:$A$247,A50)=0,"Sans estimation","OK"),"À corriger"))</f>
        <v/>
      </c>
    </row>
    <row r="51" ht="28" customHeight="1">
      <c r="A51" s="21" t="n"/>
      <c r="B51" s="21" t="n"/>
      <c r="C51" s="21" t="n"/>
      <c r="D51" s="21" t="n"/>
      <c r="E51" s="21" t="n"/>
      <c r="F51" s="21" t="n"/>
      <c r="G51" s="27" t="str">
        <f>IF(A51="","",IF(Paramètres!$B$10="Tous","Engager",IF(Paramètres!$B$10="A",E51,F51)))</f>
        <v/>
      </c>
      <c r="H51" s="26" t="str">
        <f>IF(A51="","",SUMIF(Charges!$A$8:$A$247,A51,Calculs!$R$8:$R$247))</f>
        <v/>
      </c>
      <c r="I51" s="21" t="n"/>
      <c r="J51" s="27" t="str">
        <f>IF(COUNTA(A51:F51)=0,"",IF(AND(A51&lt;&gt;"",B51&lt;&gt;"",COUNTIF($A$8:$A$67,A51)=1,OR(E51="Engager",E51="Reporter"),OR(F51="Engager",F51="Reporter")),IF(COUNTIF(Charges!$A$8:$A$247,A51)=0,"Sans estimation","OK"),"À corriger"))</f>
        <v/>
      </c>
    </row>
    <row r="52" ht="28" customHeight="1">
      <c r="A52" s="21" t="n"/>
      <c r="B52" s="21" t="n"/>
      <c r="C52" s="21" t="n"/>
      <c r="D52" s="21" t="n"/>
      <c r="E52" s="21" t="n"/>
      <c r="F52" s="21" t="n"/>
      <c r="G52" s="25" t="str">
        <f>IF(A52="","",IF(Paramètres!$B$10="Tous","Engager",IF(Paramètres!$B$10="A",E52,F52)))</f>
        <v/>
      </c>
      <c r="H52" s="24" t="str">
        <f>IF(A52="","",SUMIF(Charges!$A$8:$A$247,A52,Calculs!$R$8:$R$247))</f>
        <v/>
      </c>
      <c r="I52" s="21" t="n"/>
      <c r="J52" s="25" t="str">
        <f>IF(COUNTA(A52:F52)=0,"",IF(AND(A52&lt;&gt;"",B52&lt;&gt;"",COUNTIF($A$8:$A$67,A52)=1,OR(E52="Engager",E52="Reporter"),OR(F52="Engager",F52="Reporter")),IF(COUNTIF(Charges!$A$8:$A$247,A52)=0,"Sans estimation","OK"),"À corriger"))</f>
        <v/>
      </c>
    </row>
    <row r="53" ht="28" customHeight="1">
      <c r="A53" s="21" t="n"/>
      <c r="B53" s="21" t="n"/>
      <c r="C53" s="21" t="n"/>
      <c r="D53" s="21" t="n"/>
      <c r="E53" s="21" t="n"/>
      <c r="F53" s="21" t="n"/>
      <c r="G53" s="27" t="str">
        <f>IF(A53="","",IF(Paramètres!$B$10="Tous","Engager",IF(Paramètres!$B$10="A",E53,F53)))</f>
        <v/>
      </c>
      <c r="H53" s="26" t="str">
        <f>IF(A53="","",SUMIF(Charges!$A$8:$A$247,A53,Calculs!$R$8:$R$247))</f>
        <v/>
      </c>
      <c r="I53" s="21" t="n"/>
      <c r="J53" s="27" t="str">
        <f>IF(COUNTA(A53:F53)=0,"",IF(AND(A53&lt;&gt;"",B53&lt;&gt;"",COUNTIF($A$8:$A$67,A53)=1,OR(E53="Engager",E53="Reporter"),OR(F53="Engager",F53="Reporter")),IF(COUNTIF(Charges!$A$8:$A$247,A53)=0,"Sans estimation","OK"),"À corriger"))</f>
        <v/>
      </c>
    </row>
    <row r="54" ht="28" customHeight="1">
      <c r="A54" s="21" t="n"/>
      <c r="B54" s="21" t="n"/>
      <c r="C54" s="21" t="n"/>
      <c r="D54" s="21" t="n"/>
      <c r="E54" s="21" t="n"/>
      <c r="F54" s="21" t="n"/>
      <c r="G54" s="25" t="str">
        <f>IF(A54="","",IF(Paramètres!$B$10="Tous","Engager",IF(Paramètres!$B$10="A",E54,F54)))</f>
        <v/>
      </c>
      <c r="H54" s="24" t="str">
        <f>IF(A54="","",SUMIF(Charges!$A$8:$A$247,A54,Calculs!$R$8:$R$247))</f>
        <v/>
      </c>
      <c r="I54" s="21" t="n"/>
      <c r="J54" s="25" t="str">
        <f>IF(COUNTA(A54:F54)=0,"",IF(AND(A54&lt;&gt;"",B54&lt;&gt;"",COUNTIF($A$8:$A$67,A54)=1,OR(E54="Engager",E54="Reporter"),OR(F54="Engager",F54="Reporter")),IF(COUNTIF(Charges!$A$8:$A$247,A54)=0,"Sans estimation","OK"),"À corriger"))</f>
        <v/>
      </c>
    </row>
    <row r="55" ht="28" customHeight="1">
      <c r="A55" s="21" t="n"/>
      <c r="B55" s="21" t="n"/>
      <c r="C55" s="21" t="n"/>
      <c r="D55" s="21" t="n"/>
      <c r="E55" s="21" t="n"/>
      <c r="F55" s="21" t="n"/>
      <c r="G55" s="27" t="str">
        <f>IF(A55="","",IF(Paramètres!$B$10="Tous","Engager",IF(Paramètres!$B$10="A",E55,F55)))</f>
        <v/>
      </c>
      <c r="H55" s="26" t="str">
        <f>IF(A55="","",SUMIF(Charges!$A$8:$A$247,A55,Calculs!$R$8:$R$247))</f>
        <v/>
      </c>
      <c r="I55" s="21" t="n"/>
      <c r="J55" s="27" t="str">
        <f>IF(COUNTA(A55:F55)=0,"",IF(AND(A55&lt;&gt;"",B55&lt;&gt;"",COUNTIF($A$8:$A$67,A55)=1,OR(E55="Engager",E55="Reporter"),OR(F55="Engager",F55="Reporter")),IF(COUNTIF(Charges!$A$8:$A$247,A55)=0,"Sans estimation","OK"),"À corriger"))</f>
        <v/>
      </c>
    </row>
    <row r="56" ht="28" customHeight="1">
      <c r="A56" s="21" t="n"/>
      <c r="B56" s="21" t="n"/>
      <c r="C56" s="21" t="n"/>
      <c r="D56" s="21" t="n"/>
      <c r="E56" s="21" t="n"/>
      <c r="F56" s="21" t="n"/>
      <c r="G56" s="25" t="str">
        <f>IF(A56="","",IF(Paramètres!$B$10="Tous","Engager",IF(Paramètres!$B$10="A",E56,F56)))</f>
        <v/>
      </c>
      <c r="H56" s="24" t="str">
        <f>IF(A56="","",SUMIF(Charges!$A$8:$A$247,A56,Calculs!$R$8:$R$247))</f>
        <v/>
      </c>
      <c r="I56" s="21" t="n"/>
      <c r="J56" s="25" t="str">
        <f>IF(COUNTA(A56:F56)=0,"",IF(AND(A56&lt;&gt;"",B56&lt;&gt;"",COUNTIF($A$8:$A$67,A56)=1,OR(E56="Engager",E56="Reporter"),OR(F56="Engager",F56="Reporter")),IF(COUNTIF(Charges!$A$8:$A$247,A56)=0,"Sans estimation","OK"),"À corriger"))</f>
        <v/>
      </c>
    </row>
    <row r="57" ht="28" customHeight="1">
      <c r="A57" s="21" t="n"/>
      <c r="B57" s="21" t="n"/>
      <c r="C57" s="21" t="n"/>
      <c r="D57" s="21" t="n"/>
      <c r="E57" s="21" t="n"/>
      <c r="F57" s="21" t="n"/>
      <c r="G57" s="27" t="str">
        <f>IF(A57="","",IF(Paramètres!$B$10="Tous","Engager",IF(Paramètres!$B$10="A",E57,F57)))</f>
        <v/>
      </c>
      <c r="H57" s="26" t="str">
        <f>IF(A57="","",SUMIF(Charges!$A$8:$A$247,A57,Calculs!$R$8:$R$247))</f>
        <v/>
      </c>
      <c r="I57" s="21" t="n"/>
      <c r="J57" s="27" t="str">
        <f>IF(COUNTA(A57:F57)=0,"",IF(AND(A57&lt;&gt;"",B57&lt;&gt;"",COUNTIF($A$8:$A$67,A57)=1,OR(E57="Engager",E57="Reporter"),OR(F57="Engager",F57="Reporter")),IF(COUNTIF(Charges!$A$8:$A$247,A57)=0,"Sans estimation","OK"),"À corriger"))</f>
        <v/>
      </c>
    </row>
    <row r="58" ht="28" customHeight="1">
      <c r="A58" s="21" t="n"/>
      <c r="B58" s="21" t="n"/>
      <c r="C58" s="21" t="n"/>
      <c r="D58" s="21" t="n"/>
      <c r="E58" s="21" t="n"/>
      <c r="F58" s="21" t="n"/>
      <c r="G58" s="25" t="str">
        <f>IF(A58="","",IF(Paramètres!$B$10="Tous","Engager",IF(Paramètres!$B$10="A",E58,F58)))</f>
        <v/>
      </c>
      <c r="H58" s="24" t="str">
        <f>IF(A58="","",SUMIF(Charges!$A$8:$A$247,A58,Calculs!$R$8:$R$247))</f>
        <v/>
      </c>
      <c r="I58" s="21" t="n"/>
      <c r="J58" s="25" t="str">
        <f>IF(COUNTA(A58:F58)=0,"",IF(AND(A58&lt;&gt;"",B58&lt;&gt;"",COUNTIF($A$8:$A$67,A58)=1,OR(E58="Engager",E58="Reporter"),OR(F58="Engager",F58="Reporter")),IF(COUNTIF(Charges!$A$8:$A$247,A58)=0,"Sans estimation","OK"),"À corriger"))</f>
        <v/>
      </c>
    </row>
    <row r="59" ht="28" customHeight="1">
      <c r="A59" s="21" t="n"/>
      <c r="B59" s="21" t="n"/>
      <c r="C59" s="21" t="n"/>
      <c r="D59" s="21" t="n"/>
      <c r="E59" s="21" t="n"/>
      <c r="F59" s="21" t="n"/>
      <c r="G59" s="27" t="str">
        <f>IF(A59="","",IF(Paramètres!$B$10="Tous","Engager",IF(Paramètres!$B$10="A",E59,F59)))</f>
        <v/>
      </c>
      <c r="H59" s="26" t="str">
        <f>IF(A59="","",SUMIF(Charges!$A$8:$A$247,A59,Calculs!$R$8:$R$247))</f>
        <v/>
      </c>
      <c r="I59" s="21" t="n"/>
      <c r="J59" s="27" t="str">
        <f>IF(COUNTA(A59:F59)=0,"",IF(AND(A59&lt;&gt;"",B59&lt;&gt;"",COUNTIF($A$8:$A$67,A59)=1,OR(E59="Engager",E59="Reporter"),OR(F59="Engager",F59="Reporter")),IF(COUNTIF(Charges!$A$8:$A$247,A59)=0,"Sans estimation","OK"),"À corriger"))</f>
        <v/>
      </c>
    </row>
    <row r="60" ht="28" customHeight="1">
      <c r="A60" s="21" t="n"/>
      <c r="B60" s="21" t="n"/>
      <c r="C60" s="21" t="n"/>
      <c r="D60" s="21" t="n"/>
      <c r="E60" s="21" t="n"/>
      <c r="F60" s="21" t="n"/>
      <c r="G60" s="25" t="str">
        <f>IF(A60="","",IF(Paramètres!$B$10="Tous","Engager",IF(Paramètres!$B$10="A",E60,F60)))</f>
        <v/>
      </c>
      <c r="H60" s="24" t="str">
        <f>IF(A60="","",SUMIF(Charges!$A$8:$A$247,A60,Calculs!$R$8:$R$247))</f>
        <v/>
      </c>
      <c r="I60" s="21" t="n"/>
      <c r="J60" s="25" t="str">
        <f>IF(COUNTA(A60:F60)=0,"",IF(AND(A60&lt;&gt;"",B60&lt;&gt;"",COUNTIF($A$8:$A$67,A60)=1,OR(E60="Engager",E60="Reporter"),OR(F60="Engager",F60="Reporter")),IF(COUNTIF(Charges!$A$8:$A$247,A60)=0,"Sans estimation","OK"),"À corriger"))</f>
        <v/>
      </c>
    </row>
    <row r="61" ht="28" customHeight="1">
      <c r="A61" s="21" t="n"/>
      <c r="B61" s="21" t="n"/>
      <c r="C61" s="21" t="n"/>
      <c r="D61" s="21" t="n"/>
      <c r="E61" s="21" t="n"/>
      <c r="F61" s="21" t="n"/>
      <c r="G61" s="27" t="str">
        <f>IF(A61="","",IF(Paramètres!$B$10="Tous","Engager",IF(Paramètres!$B$10="A",E61,F61)))</f>
        <v/>
      </c>
      <c r="H61" s="26" t="str">
        <f>IF(A61="","",SUMIF(Charges!$A$8:$A$247,A61,Calculs!$R$8:$R$247))</f>
        <v/>
      </c>
      <c r="I61" s="21" t="n"/>
      <c r="J61" s="27" t="str">
        <f>IF(COUNTA(A61:F61)=0,"",IF(AND(A61&lt;&gt;"",B61&lt;&gt;"",COUNTIF($A$8:$A$67,A61)=1,OR(E61="Engager",E61="Reporter"),OR(F61="Engager",F61="Reporter")),IF(COUNTIF(Charges!$A$8:$A$247,A61)=0,"Sans estimation","OK"),"À corriger"))</f>
        <v/>
      </c>
    </row>
    <row r="62" ht="28" customHeight="1">
      <c r="A62" s="21" t="n"/>
      <c r="B62" s="21" t="n"/>
      <c r="C62" s="21" t="n"/>
      <c r="D62" s="21" t="n"/>
      <c r="E62" s="21" t="n"/>
      <c r="F62" s="21" t="n"/>
      <c r="G62" s="25" t="str">
        <f>IF(A62="","",IF(Paramètres!$B$10="Tous","Engager",IF(Paramètres!$B$10="A",E62,F62)))</f>
        <v/>
      </c>
      <c r="H62" s="24" t="str">
        <f>IF(A62="","",SUMIF(Charges!$A$8:$A$247,A62,Calculs!$R$8:$R$247))</f>
        <v/>
      </c>
      <c r="I62" s="21" t="n"/>
      <c r="J62" s="25" t="str">
        <f>IF(COUNTA(A62:F62)=0,"",IF(AND(A62&lt;&gt;"",B62&lt;&gt;"",COUNTIF($A$8:$A$67,A62)=1,OR(E62="Engager",E62="Reporter"),OR(F62="Engager",F62="Reporter")),IF(COUNTIF(Charges!$A$8:$A$247,A62)=0,"Sans estimation","OK"),"À corriger"))</f>
        <v/>
      </c>
    </row>
    <row r="63" ht="28" customHeight="1">
      <c r="A63" s="21" t="n"/>
      <c r="B63" s="21" t="n"/>
      <c r="C63" s="21" t="n"/>
      <c r="D63" s="21" t="n"/>
      <c r="E63" s="21" t="n"/>
      <c r="F63" s="21" t="n"/>
      <c r="G63" s="27" t="str">
        <f>IF(A63="","",IF(Paramètres!$B$10="Tous","Engager",IF(Paramètres!$B$10="A",E63,F63)))</f>
        <v/>
      </c>
      <c r="H63" s="26" t="str">
        <f>IF(A63="","",SUMIF(Charges!$A$8:$A$247,A63,Calculs!$R$8:$R$247))</f>
        <v/>
      </c>
      <c r="I63" s="21" t="n"/>
      <c r="J63" s="27" t="str">
        <f>IF(COUNTA(A63:F63)=0,"",IF(AND(A63&lt;&gt;"",B63&lt;&gt;"",COUNTIF($A$8:$A$67,A63)=1,OR(E63="Engager",E63="Reporter"),OR(F63="Engager",F63="Reporter")),IF(COUNTIF(Charges!$A$8:$A$247,A63)=0,"Sans estimation","OK"),"À corriger"))</f>
        <v/>
      </c>
    </row>
    <row r="64" ht="28" customHeight="1">
      <c r="A64" s="21" t="n"/>
      <c r="B64" s="21" t="n"/>
      <c r="C64" s="21" t="n"/>
      <c r="D64" s="21" t="n"/>
      <c r="E64" s="21" t="n"/>
      <c r="F64" s="21" t="n"/>
      <c r="G64" s="25" t="str">
        <f>IF(A64="","",IF(Paramètres!$B$10="Tous","Engager",IF(Paramètres!$B$10="A",E64,F64)))</f>
        <v/>
      </c>
      <c r="H64" s="24" t="str">
        <f>IF(A64="","",SUMIF(Charges!$A$8:$A$247,A64,Calculs!$R$8:$R$247))</f>
        <v/>
      </c>
      <c r="I64" s="21" t="n"/>
      <c r="J64" s="25" t="str">
        <f>IF(COUNTA(A64:F64)=0,"",IF(AND(A64&lt;&gt;"",B64&lt;&gt;"",COUNTIF($A$8:$A$67,A64)=1,OR(E64="Engager",E64="Reporter"),OR(F64="Engager",F64="Reporter")),IF(COUNTIF(Charges!$A$8:$A$247,A64)=0,"Sans estimation","OK"),"À corriger"))</f>
        <v/>
      </c>
    </row>
    <row r="65" ht="28" customHeight="1">
      <c r="A65" s="21" t="n"/>
      <c r="B65" s="21" t="n"/>
      <c r="C65" s="21" t="n"/>
      <c r="D65" s="21" t="n"/>
      <c r="E65" s="21" t="n"/>
      <c r="F65" s="21" t="n"/>
      <c r="G65" s="27" t="str">
        <f>IF(A65="","",IF(Paramètres!$B$10="Tous","Engager",IF(Paramètres!$B$10="A",E65,F65)))</f>
        <v/>
      </c>
      <c r="H65" s="26" t="str">
        <f>IF(A65="","",SUMIF(Charges!$A$8:$A$247,A65,Calculs!$R$8:$R$247))</f>
        <v/>
      </c>
      <c r="I65" s="21" t="n"/>
      <c r="J65" s="27" t="str">
        <f>IF(COUNTA(A65:F65)=0,"",IF(AND(A65&lt;&gt;"",B65&lt;&gt;"",COUNTIF($A$8:$A$67,A65)=1,OR(E65="Engager",E65="Reporter"),OR(F65="Engager",F65="Reporter")),IF(COUNTIF(Charges!$A$8:$A$247,A65)=0,"Sans estimation","OK"),"À corriger"))</f>
        <v/>
      </c>
    </row>
    <row r="66" ht="28" customHeight="1">
      <c r="A66" s="21" t="n"/>
      <c r="B66" s="21" t="n"/>
      <c r="C66" s="21" t="n"/>
      <c r="D66" s="21" t="n"/>
      <c r="E66" s="21" t="n"/>
      <c r="F66" s="21" t="n"/>
      <c r="G66" s="25" t="str">
        <f>IF(A66="","",IF(Paramètres!$B$10="Tous","Engager",IF(Paramètres!$B$10="A",E66,F66)))</f>
        <v/>
      </c>
      <c r="H66" s="24" t="str">
        <f>IF(A66="","",SUMIF(Charges!$A$8:$A$247,A66,Calculs!$R$8:$R$247))</f>
        <v/>
      </c>
      <c r="I66" s="21" t="n"/>
      <c r="J66" s="25" t="str">
        <f>IF(COUNTA(A66:F66)=0,"",IF(AND(A66&lt;&gt;"",B66&lt;&gt;"",COUNTIF($A$8:$A$67,A66)=1,OR(E66="Engager",E66="Reporter"),OR(F66="Engager",F66="Reporter")),IF(COUNTIF(Charges!$A$8:$A$247,A66)=0,"Sans estimation","OK"),"À corriger"))</f>
        <v/>
      </c>
    </row>
    <row r="67" ht="28" customHeight="1">
      <c r="A67" s="21" t="n"/>
      <c r="B67" s="21" t="n"/>
      <c r="C67" s="21" t="n"/>
      <c r="D67" s="21" t="n"/>
      <c r="E67" s="21" t="n"/>
      <c r="F67" s="21" t="n"/>
      <c r="G67" s="27" t="str">
        <f>IF(A67="","",IF(Paramètres!$B$10="Tous","Engager",IF(Paramètres!$B$10="A",E67,F67)))</f>
        <v/>
      </c>
      <c r="H67" s="26" t="str">
        <f>IF(A67="","",SUMIF(Charges!$A$8:$A$247,A67,Calculs!$R$8:$R$247))</f>
        <v/>
      </c>
      <c r="I67" s="21" t="n"/>
      <c r="J67" s="27" t="str">
        <f>IF(COUNTA(A67:F67)=0,"",IF(AND(A67&lt;&gt;"",B67&lt;&gt;"",COUNTIF($A$8:$A$67,A67)=1,OR(E67="Engager",E67="Reporter"),OR(F67="Engager",F67="Reporter")),IF(COUNTIF(Charges!$A$8:$A$247,A67)=0,"Sans estimation","OK"),"À corriger"))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4:L5"/>
    <mergeCell ref="A1:L2"/>
  </mergeCells>
  <conditionalFormatting sqref="J8:J67">
    <cfRule type="expression" priority="1" dxfId="0">
      <formula>AND(J8&lt;&gt;"",J8&lt;&gt;"OK")</formula>
    </cfRule>
  </conditionalFormatting>
  <dataValidations count="1">
    <dataValidation sqref="E8:F67" showDropDown="0" showInputMessage="0" showErrorMessage="1" allowBlank="1" errorTitle="Saisie à corriger" error="Utilisez une valeur autorisée. Les contrôles repèrent aussi les erreurs collées." type="list" errorStyle="stop">
      <formula1>"Engager,Reporter"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S247"/>
  <sheetViews>
    <sheetView showGridLines="0" zoomScale="90" workbookViewId="0">
      <pane xSplit="5" ySplit="7" topLeftCell="F8" activePane="bottomRight" state="frozen"/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0" customWidth="1" min="2" max="2"/>
    <col width="13" customWidth="1" min="3" max="3"/>
    <col width="24" customWidth="1" min="4" max="4"/>
    <col width="22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30" customWidth="1" min="19" max="19"/>
  </cols>
  <sheetData>
    <row r="1" ht="25" customHeight="1">
      <c r="A1" s="1" t="inlineStr">
        <is>
          <t>04 / Livrables et charges par semaine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Une ligne = un livrable affecté à une personne. Saisissez des jours (ex. 2,5) OU S/M/L/XL. Les résultats regroupent les projets retenus.</t>
        </is>
      </c>
    </row>
    <row r="5" ht="20" customHeight="1"/>
    <row r="6" ht="28" customHeight="1">
      <c r="F6" s="28" t="n">
        <f>IFERROR(IF(1&lt;=Paramètres!$B$9,Paramètres!$B$8+0,""),"")</f>
        <v>46300</v>
      </c>
      <c r="G6" s="28" t="n">
        <f>IFERROR(IF(2&lt;=Paramètres!$B$9,Paramètres!$B$8+7,""),"")</f>
        <v>46307</v>
      </c>
      <c r="H6" s="28" t="n">
        <f>IFERROR(IF(3&lt;=Paramètres!$B$9,Paramètres!$B$8+14,""),"")</f>
        <v>46314</v>
      </c>
      <c r="I6" s="28" t="n">
        <f>IFERROR(IF(4&lt;=Paramètres!$B$9,Paramètres!$B$8+21,""),"")</f>
        <v>46321</v>
      </c>
      <c r="J6" s="28" t="n">
        <f>IFERROR(IF(5&lt;=Paramètres!$B$9,Paramètres!$B$8+28,""),"")</f>
        <v>46328</v>
      </c>
      <c r="K6" s="28" t="n">
        <f>IFERROR(IF(6&lt;=Paramètres!$B$9,Paramètres!$B$8+35,""),"")</f>
        <v>46335</v>
      </c>
      <c r="L6" s="28" t="n">
        <f>IFERROR(IF(7&lt;=Paramètres!$B$9,Paramètres!$B$8+42,""),"")</f>
        <v>46342</v>
      </c>
      <c r="M6" s="28" t="n">
        <f>IFERROR(IF(8&lt;=Paramètres!$B$9,Paramètres!$B$8+49,""),"")</f>
        <v>46349</v>
      </c>
      <c r="N6" s="28" t="n">
        <f>IFERROR(IF(9&lt;=Paramètres!$B$9,Paramètres!$B$8+56,""),"")</f>
        <v>46356</v>
      </c>
      <c r="O6" s="28" t="n">
        <f>IFERROR(IF(10&lt;=Paramètres!$B$9,Paramètres!$B$8+63,""),"")</f>
        <v>46363</v>
      </c>
      <c r="P6" s="28" t="n">
        <f>IFERROR(IF(11&lt;=Paramètres!$B$9,Paramètres!$B$8+70,""),"")</f>
        <v>46370</v>
      </c>
      <c r="Q6" s="28" t="n">
        <f>IFERROR(IF(12&lt;=Paramètres!$B$9,Paramètres!$B$8+77,""),"")</f>
        <v>46377</v>
      </c>
      <c r="R6" s="28" t="n">
        <f>IFERROR(IF(13&lt;=Paramètres!$B$9,Paramètres!$B$8+84,""),"")</f>
        <v>46384</v>
      </c>
    </row>
    <row r="7" ht="36" customHeight="1">
      <c r="A7" s="23" t="inlineStr">
        <is>
          <t>Projet ID</t>
        </is>
      </c>
      <c r="B7" s="23" t="inlineStr">
        <is>
          <t>Livrable</t>
        </is>
      </c>
      <c r="C7" s="23" t="inlineStr">
        <is>
          <t>Personne ID</t>
        </is>
      </c>
      <c r="D7" s="23" t="inlineStr">
        <is>
          <t>Équipe calculée</t>
        </is>
      </c>
      <c r="E7" s="23" t="inlineStr">
        <is>
          <t>Contrôle</t>
        </is>
      </c>
      <c r="F7" s="23" t="inlineStr">
        <is>
          <t>S1</t>
        </is>
      </c>
      <c r="G7" s="23" t="inlineStr">
        <is>
          <t>S2</t>
        </is>
      </c>
      <c r="H7" s="23" t="inlineStr">
        <is>
          <t>S3</t>
        </is>
      </c>
      <c r="I7" s="23" t="inlineStr">
        <is>
          <t>S4</t>
        </is>
      </c>
      <c r="J7" s="23" t="inlineStr">
        <is>
          <t>S5</t>
        </is>
      </c>
      <c r="K7" s="23" t="inlineStr">
        <is>
          <t>S6</t>
        </is>
      </c>
      <c r="L7" s="23" t="inlineStr">
        <is>
          <t>S7</t>
        </is>
      </c>
      <c r="M7" s="23" t="inlineStr">
        <is>
          <t>S8</t>
        </is>
      </c>
      <c r="N7" s="23" t="inlineStr">
        <is>
          <t>S9</t>
        </is>
      </c>
      <c r="O7" s="23" t="inlineStr">
        <is>
          <t>S10</t>
        </is>
      </c>
      <c r="P7" s="23" t="inlineStr">
        <is>
          <t>S11</t>
        </is>
      </c>
      <c r="Q7" s="23" t="inlineStr">
        <is>
          <t>S12</t>
        </is>
      </c>
      <c r="R7" s="23" t="inlineStr">
        <is>
          <t>S13</t>
        </is>
      </c>
      <c r="S7" s="23" t="inlineStr">
        <is>
          <t>Source / hypothèse</t>
        </is>
      </c>
    </row>
    <row r="8" ht="28" customHeight="1">
      <c r="A8" s="21" t="n"/>
      <c r="B8" s="21" t="n"/>
      <c r="C8" s="21" t="n"/>
      <c r="D8" s="25" t="str">
        <f>IF(C8="","",IFERROR(VLOOKUP(C8,'Personnes'!$A$8:$Z$47,3,FALSE),""))</f>
        <v/>
      </c>
      <c r="E8" s="25" t="str">
        <f>IF(COUNTA(A8:C8,F8:R8)=0,"",IF(OR(A8="",B8="",C8="",COUNTIF(Projets,A8)&lt;&gt;1,COUNTIF(Personnes,C8)&lt;&gt;1),"Identité à corriger",IF(Calculs!T8&gt;0,"Charge à corriger",IF(Calculs!U8&gt;0,"Hors période", "OK"))))</f>
        <v/>
      </c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1" t="n"/>
    </row>
    <row r="9" ht="28" customHeight="1">
      <c r="A9" s="21" t="n"/>
      <c r="B9" s="21" t="n"/>
      <c r="C9" s="21" t="n"/>
      <c r="D9" s="27" t="str">
        <f>IF(C9="","",IFERROR(VLOOKUP(C9,'Personnes'!$A$8:$Z$47,3,FALSE),""))</f>
        <v/>
      </c>
      <c r="E9" s="27" t="str">
        <f>IF(COUNTA(A9:C9,F9:R9)=0,"",IF(OR(A9="",B9="",C9="",COUNTIF(Projets,A9)&lt;&gt;1,COUNTIF(Personnes,C9)&lt;&gt;1),"Identité à corriger",IF(Calculs!T9&gt;0,"Charge à corriger",IF(Calculs!U9&gt;0,"Hors période", "OK"))))</f>
        <v/>
      </c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1" t="n"/>
    </row>
    <row r="10" ht="28" customHeight="1">
      <c r="A10" s="21" t="n"/>
      <c r="B10" s="21" t="n"/>
      <c r="C10" s="21" t="n"/>
      <c r="D10" s="25" t="str">
        <f>IF(C10="","",IFERROR(VLOOKUP(C10,'Personnes'!$A$8:$Z$47,3,FALSE),""))</f>
        <v/>
      </c>
      <c r="E10" s="25" t="str">
        <f>IF(COUNTA(A10:C10,F10:R10)=0,"",IF(OR(A10="",B10="",C10="",COUNTIF(Projets,A10)&lt;&gt;1,COUNTIF(Personnes,C10)&lt;&gt;1),"Identité à corriger",IF(Calculs!T10&gt;0,"Charge à corriger",IF(Calculs!U10&gt;0,"Hors période", "OK"))))</f>
        <v/>
      </c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  <c r="S10" s="21" t="n"/>
    </row>
    <row r="11" ht="28" customHeight="1">
      <c r="A11" s="21" t="n"/>
      <c r="B11" s="21" t="n"/>
      <c r="C11" s="21" t="n"/>
      <c r="D11" s="27" t="str">
        <f>IF(C11="","",IFERROR(VLOOKUP(C11,'Personnes'!$A$8:$Z$47,3,FALSE),""))</f>
        <v/>
      </c>
      <c r="E11" s="27" t="str">
        <f>IF(COUNTA(A11:C11,F11:R11)=0,"",IF(OR(A11="",B11="",C11="",COUNTIF(Projets,A11)&lt;&gt;1,COUNTIF(Personnes,C11)&lt;&gt;1),"Identité à corriger",IF(Calculs!T11&gt;0,"Charge à corriger",IF(Calculs!U11&gt;0,"Hors période", "OK"))))</f>
        <v/>
      </c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1" t="n"/>
    </row>
    <row r="12" ht="28" customHeight="1">
      <c r="A12" s="21" t="n"/>
      <c r="B12" s="21" t="n"/>
      <c r="C12" s="21" t="n"/>
      <c r="D12" s="25" t="str">
        <f>IF(C12="","",IFERROR(VLOOKUP(C12,'Personnes'!$A$8:$Z$47,3,FALSE),""))</f>
        <v/>
      </c>
      <c r="E12" s="25" t="str">
        <f>IF(COUNTA(A12:C12,F12:R12)=0,"",IF(OR(A12="",B12="",C12="",COUNTIF(Projets,A12)&lt;&gt;1,COUNTIF(Personnes,C12)&lt;&gt;1),"Identité à corriger",IF(Calculs!T12&gt;0,"Charge à corriger",IF(Calculs!U12&gt;0,"Hors période", "OK"))))</f>
        <v/>
      </c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1" t="n"/>
    </row>
    <row r="13" ht="28" customHeight="1">
      <c r="A13" s="21" t="n"/>
      <c r="B13" s="21" t="n"/>
      <c r="C13" s="21" t="n"/>
      <c r="D13" s="27" t="str">
        <f>IF(C13="","",IFERROR(VLOOKUP(C13,'Personnes'!$A$8:$Z$47,3,FALSE),""))</f>
        <v/>
      </c>
      <c r="E13" s="27" t="str">
        <f>IF(COUNTA(A13:C13,F13:R13)=0,"",IF(OR(A13="",B13="",C13="",COUNTIF(Projets,A13)&lt;&gt;1,COUNTIF(Personnes,C13)&lt;&gt;1),"Identité à corriger",IF(Calculs!T13&gt;0,"Charge à corriger",IF(Calculs!U13&gt;0,"Hors période", "OK"))))</f>
        <v/>
      </c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1" t="n"/>
    </row>
    <row r="14" ht="28" customHeight="1">
      <c r="A14" s="21" t="n"/>
      <c r="B14" s="21" t="n"/>
      <c r="C14" s="21" t="n"/>
      <c r="D14" s="25" t="str">
        <f>IF(C14="","",IFERROR(VLOOKUP(C14,'Personnes'!$A$8:$Z$47,3,FALSE),""))</f>
        <v/>
      </c>
      <c r="E14" s="25" t="str">
        <f>IF(COUNTA(A14:C14,F14:R14)=0,"",IF(OR(A14="",B14="",C14="",COUNTIF(Projets,A14)&lt;&gt;1,COUNTIF(Personnes,C14)&lt;&gt;1),"Identité à corriger",IF(Calculs!T14&gt;0,"Charge à corriger",IF(Calculs!U14&gt;0,"Hors période", "OK"))))</f>
        <v/>
      </c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  <c r="S14" s="21" t="n"/>
    </row>
    <row r="15" ht="28" customHeight="1">
      <c r="A15" s="21" t="n"/>
      <c r="B15" s="21" t="n"/>
      <c r="C15" s="21" t="n"/>
      <c r="D15" s="27" t="str">
        <f>IF(C15="","",IFERROR(VLOOKUP(C15,'Personnes'!$A$8:$Z$47,3,FALSE),""))</f>
        <v/>
      </c>
      <c r="E15" s="27" t="str">
        <f>IF(COUNTA(A15:C15,F15:R15)=0,"",IF(OR(A15="",B15="",C15="",COUNTIF(Projets,A15)&lt;&gt;1,COUNTIF(Personnes,C15)&lt;&gt;1),"Identité à corriger",IF(Calculs!T15&gt;0,"Charge à corriger",IF(Calculs!U15&gt;0,"Hors période", "OK"))))</f>
        <v/>
      </c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  <c r="Q15" s="22" t="n"/>
      <c r="R15" s="22" t="n"/>
      <c r="S15" s="21" t="n"/>
    </row>
    <row r="16" ht="28" customHeight="1">
      <c r="A16" s="21" t="n"/>
      <c r="B16" s="21" t="n"/>
      <c r="C16" s="21" t="n"/>
      <c r="D16" s="25" t="str">
        <f>IF(C16="","",IFERROR(VLOOKUP(C16,'Personnes'!$A$8:$Z$47,3,FALSE),""))</f>
        <v/>
      </c>
      <c r="E16" s="25" t="str">
        <f>IF(COUNTA(A16:C16,F16:R16)=0,"",IF(OR(A16="",B16="",C16="",COUNTIF(Projets,A16)&lt;&gt;1,COUNTIF(Personnes,C16)&lt;&gt;1),"Identité à corriger",IF(Calculs!T16&gt;0,"Charge à corriger",IF(Calculs!U16&gt;0,"Hors période", "OK"))))</f>
        <v/>
      </c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1" t="n"/>
    </row>
    <row r="17" ht="28" customHeight="1">
      <c r="A17" s="21" t="n"/>
      <c r="B17" s="21" t="n"/>
      <c r="C17" s="21" t="n"/>
      <c r="D17" s="27" t="str">
        <f>IF(C17="","",IFERROR(VLOOKUP(C17,'Personnes'!$A$8:$Z$47,3,FALSE),""))</f>
        <v/>
      </c>
      <c r="E17" s="27" t="str">
        <f>IF(COUNTA(A17:C17,F17:R17)=0,"",IF(OR(A17="",B17="",C17="",COUNTIF(Projets,A17)&lt;&gt;1,COUNTIF(Personnes,C17)&lt;&gt;1),"Identité à corriger",IF(Calculs!T17&gt;0,"Charge à corriger",IF(Calculs!U17&gt;0,"Hors période", "OK"))))</f>
        <v/>
      </c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  <c r="Q17" s="22" t="n"/>
      <c r="R17" s="22" t="n"/>
      <c r="S17" s="21" t="n"/>
    </row>
    <row r="18" ht="28" customHeight="1">
      <c r="A18" s="21" t="n"/>
      <c r="B18" s="21" t="n"/>
      <c r="C18" s="21" t="n"/>
      <c r="D18" s="25" t="str">
        <f>IF(C18="","",IFERROR(VLOOKUP(C18,'Personnes'!$A$8:$Z$47,3,FALSE),""))</f>
        <v/>
      </c>
      <c r="E18" s="25" t="str">
        <f>IF(COUNTA(A18:C18,F18:R18)=0,"",IF(OR(A18="",B18="",C18="",COUNTIF(Projets,A18)&lt;&gt;1,COUNTIF(Personnes,C18)&lt;&gt;1),"Identité à corriger",IF(Calculs!T18&gt;0,"Charge à corriger",IF(Calculs!U18&gt;0,"Hors période", "OK"))))</f>
        <v/>
      </c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  <c r="S18" s="21" t="n"/>
    </row>
    <row r="19" ht="28" customHeight="1">
      <c r="A19" s="21" t="n"/>
      <c r="B19" s="21" t="n"/>
      <c r="C19" s="21" t="n"/>
      <c r="D19" s="27" t="str">
        <f>IF(C19="","",IFERROR(VLOOKUP(C19,'Personnes'!$A$8:$Z$47,3,FALSE),""))</f>
        <v/>
      </c>
      <c r="E19" s="27" t="str">
        <f>IF(COUNTA(A19:C19,F19:R19)=0,"",IF(OR(A19="",B19="",C19="",COUNTIF(Projets,A19)&lt;&gt;1,COUNTIF(Personnes,C19)&lt;&gt;1),"Identité à corriger",IF(Calculs!T19&gt;0,"Charge à corriger",IF(Calculs!U19&gt;0,"Hors période", "OK"))))</f>
        <v/>
      </c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1" t="n"/>
    </row>
    <row r="20" ht="28" customHeight="1">
      <c r="A20" s="21" t="n"/>
      <c r="B20" s="21" t="n"/>
      <c r="C20" s="21" t="n"/>
      <c r="D20" s="25" t="str">
        <f>IF(C20="","",IFERROR(VLOOKUP(C20,'Personnes'!$A$8:$Z$47,3,FALSE),""))</f>
        <v/>
      </c>
      <c r="E20" s="25" t="str">
        <f>IF(COUNTA(A20:C20,F20:R20)=0,"",IF(OR(A20="",B20="",C20="",COUNTIF(Projets,A20)&lt;&gt;1,COUNTIF(Personnes,C20)&lt;&gt;1),"Identité à corriger",IF(Calculs!T20&gt;0,"Charge à corriger",IF(Calculs!U20&gt;0,"Hors période", "OK"))))</f>
        <v/>
      </c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1" t="n"/>
    </row>
    <row r="21" ht="28" customHeight="1">
      <c r="A21" s="21" t="n"/>
      <c r="B21" s="21" t="n"/>
      <c r="C21" s="21" t="n"/>
      <c r="D21" s="27" t="str">
        <f>IF(C21="","",IFERROR(VLOOKUP(C21,'Personnes'!$A$8:$Z$47,3,FALSE),""))</f>
        <v/>
      </c>
      <c r="E21" s="27" t="str">
        <f>IF(COUNTA(A21:C21,F21:R21)=0,"",IF(OR(A21="",B21="",C21="",COUNTIF(Projets,A21)&lt;&gt;1,COUNTIF(Personnes,C21)&lt;&gt;1),"Identité à corriger",IF(Calculs!T21&gt;0,"Charge à corriger",IF(Calculs!U21&gt;0,"Hors période", "OK"))))</f>
        <v/>
      </c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1" t="n"/>
    </row>
    <row r="22" ht="28" customHeight="1">
      <c r="A22" s="21" t="n"/>
      <c r="B22" s="21" t="n"/>
      <c r="C22" s="21" t="n"/>
      <c r="D22" s="25" t="str">
        <f>IF(C22="","",IFERROR(VLOOKUP(C22,'Personnes'!$A$8:$Z$47,3,FALSE),""))</f>
        <v/>
      </c>
      <c r="E22" s="25" t="str">
        <f>IF(COUNTA(A22:C22,F22:R22)=0,"",IF(OR(A22="",B22="",C22="",COUNTIF(Projets,A22)&lt;&gt;1,COUNTIF(Personnes,C22)&lt;&gt;1),"Identité à corriger",IF(Calculs!T22&gt;0,"Charge à corriger",IF(Calculs!U22&gt;0,"Hors période", "OK"))))</f>
        <v/>
      </c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1" t="n"/>
    </row>
    <row r="23" ht="28" customHeight="1">
      <c r="A23" s="21" t="n"/>
      <c r="B23" s="21" t="n"/>
      <c r="C23" s="21" t="n"/>
      <c r="D23" s="27" t="str">
        <f>IF(C23="","",IFERROR(VLOOKUP(C23,'Personnes'!$A$8:$Z$47,3,FALSE),""))</f>
        <v/>
      </c>
      <c r="E23" s="27" t="str">
        <f>IF(COUNTA(A23:C23,F23:R23)=0,"",IF(OR(A23="",B23="",C23="",COUNTIF(Projets,A23)&lt;&gt;1,COUNTIF(Personnes,C23)&lt;&gt;1),"Identité à corriger",IF(Calculs!T23&gt;0,"Charge à corriger",IF(Calculs!U23&gt;0,"Hors période", "OK"))))</f>
        <v/>
      </c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1" t="n"/>
    </row>
    <row r="24" ht="28" customHeight="1">
      <c r="A24" s="21" t="n"/>
      <c r="B24" s="21" t="n"/>
      <c r="C24" s="21" t="n"/>
      <c r="D24" s="25" t="str">
        <f>IF(C24="","",IFERROR(VLOOKUP(C24,'Personnes'!$A$8:$Z$47,3,FALSE),""))</f>
        <v/>
      </c>
      <c r="E24" s="25" t="str">
        <f>IF(COUNTA(A24:C24,F24:R24)=0,"",IF(OR(A24="",B24="",C24="",COUNTIF(Projets,A24)&lt;&gt;1,COUNTIF(Personnes,C24)&lt;&gt;1),"Identité à corriger",IF(Calculs!T24&gt;0,"Charge à corriger",IF(Calculs!U24&gt;0,"Hors période", "OK"))))</f>
        <v/>
      </c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1" t="n"/>
    </row>
    <row r="25" ht="28" customHeight="1">
      <c r="A25" s="21" t="n"/>
      <c r="B25" s="21" t="n"/>
      <c r="C25" s="21" t="n"/>
      <c r="D25" s="27" t="str">
        <f>IF(C25="","",IFERROR(VLOOKUP(C25,'Personnes'!$A$8:$Z$47,3,FALSE),""))</f>
        <v/>
      </c>
      <c r="E25" s="27" t="str">
        <f>IF(COUNTA(A25:C25,F25:R25)=0,"",IF(OR(A25="",B25="",C25="",COUNTIF(Projets,A25)&lt;&gt;1,COUNTIF(Personnes,C25)&lt;&gt;1),"Identité à corriger",IF(Calculs!T25&gt;0,"Charge à corriger",IF(Calculs!U25&gt;0,"Hors période", "OK"))))</f>
        <v/>
      </c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  <c r="S25" s="21" t="n"/>
    </row>
    <row r="26" ht="28" customHeight="1">
      <c r="A26" s="21" t="n"/>
      <c r="B26" s="21" t="n"/>
      <c r="C26" s="21" t="n"/>
      <c r="D26" s="25" t="str">
        <f>IF(C26="","",IFERROR(VLOOKUP(C26,'Personnes'!$A$8:$Z$47,3,FALSE),""))</f>
        <v/>
      </c>
      <c r="E26" s="25" t="str">
        <f>IF(COUNTA(A26:C26,F26:R26)=0,"",IF(OR(A26="",B26="",C26="",COUNTIF(Projets,A26)&lt;&gt;1,COUNTIF(Personnes,C26)&lt;&gt;1),"Identité à corriger",IF(Calculs!T26&gt;0,"Charge à corriger",IF(Calculs!U26&gt;0,"Hors période", "OK"))))</f>
        <v/>
      </c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1" t="n"/>
    </row>
    <row r="27" ht="28" customHeight="1">
      <c r="A27" s="21" t="n"/>
      <c r="B27" s="21" t="n"/>
      <c r="C27" s="21" t="n"/>
      <c r="D27" s="27" t="str">
        <f>IF(C27="","",IFERROR(VLOOKUP(C27,'Personnes'!$A$8:$Z$47,3,FALSE),""))</f>
        <v/>
      </c>
      <c r="E27" s="27" t="str">
        <f>IF(COUNTA(A27:C27,F27:R27)=0,"",IF(OR(A27="",B27="",C27="",COUNTIF(Projets,A27)&lt;&gt;1,COUNTIF(Personnes,C27)&lt;&gt;1),"Identité à corriger",IF(Calculs!T27&gt;0,"Charge à corriger",IF(Calculs!U27&gt;0,"Hors période", "OK"))))</f>
        <v/>
      </c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1" t="n"/>
    </row>
    <row r="28" ht="28" customHeight="1">
      <c r="A28" s="21" t="n"/>
      <c r="B28" s="21" t="n"/>
      <c r="C28" s="21" t="n"/>
      <c r="D28" s="25" t="str">
        <f>IF(C28="","",IFERROR(VLOOKUP(C28,'Personnes'!$A$8:$Z$47,3,FALSE),""))</f>
        <v/>
      </c>
      <c r="E28" s="25" t="str">
        <f>IF(COUNTA(A28:C28,F28:R28)=0,"",IF(OR(A28="",B28="",C28="",COUNTIF(Projets,A28)&lt;&gt;1,COUNTIF(Personnes,C28)&lt;&gt;1),"Identité à corriger",IF(Calculs!T28&gt;0,"Charge à corriger",IF(Calculs!U28&gt;0,"Hors période", "OK"))))</f>
        <v/>
      </c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1" t="n"/>
    </row>
    <row r="29" ht="28" customHeight="1">
      <c r="A29" s="21" t="n"/>
      <c r="B29" s="21" t="n"/>
      <c r="C29" s="21" t="n"/>
      <c r="D29" s="27" t="str">
        <f>IF(C29="","",IFERROR(VLOOKUP(C29,'Personnes'!$A$8:$Z$47,3,FALSE),""))</f>
        <v/>
      </c>
      <c r="E29" s="27" t="str">
        <f>IF(COUNTA(A29:C29,F29:R29)=0,"",IF(OR(A29="",B29="",C29="",COUNTIF(Projets,A29)&lt;&gt;1,COUNTIF(Personnes,C29)&lt;&gt;1),"Identité à corriger",IF(Calculs!T29&gt;0,"Charge à corriger",IF(Calculs!U29&gt;0,"Hors période", "OK"))))</f>
        <v/>
      </c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  <c r="Q29" s="22" t="n"/>
      <c r="R29" s="22" t="n"/>
      <c r="S29" s="21" t="n"/>
    </row>
    <row r="30" ht="28" customHeight="1">
      <c r="A30" s="21" t="n"/>
      <c r="B30" s="21" t="n"/>
      <c r="C30" s="21" t="n"/>
      <c r="D30" s="25" t="str">
        <f>IF(C30="","",IFERROR(VLOOKUP(C30,'Personnes'!$A$8:$Z$47,3,FALSE),""))</f>
        <v/>
      </c>
      <c r="E30" s="25" t="str">
        <f>IF(COUNTA(A30:C30,F30:R30)=0,"",IF(OR(A30="",B30="",C30="",COUNTIF(Projets,A30)&lt;&gt;1,COUNTIF(Personnes,C30)&lt;&gt;1),"Identité à corriger",IF(Calculs!T30&gt;0,"Charge à corriger",IF(Calculs!U30&gt;0,"Hors période", "OK"))))</f>
        <v/>
      </c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1" t="n"/>
    </row>
    <row r="31" ht="28" customHeight="1">
      <c r="A31" s="21" t="n"/>
      <c r="B31" s="21" t="n"/>
      <c r="C31" s="21" t="n"/>
      <c r="D31" s="27" t="str">
        <f>IF(C31="","",IFERROR(VLOOKUP(C31,'Personnes'!$A$8:$Z$47,3,FALSE),""))</f>
        <v/>
      </c>
      <c r="E31" s="27" t="str">
        <f>IF(COUNTA(A31:C31,F31:R31)=0,"",IF(OR(A31="",B31="",C31="",COUNTIF(Projets,A31)&lt;&gt;1,COUNTIF(Personnes,C31)&lt;&gt;1),"Identité à corriger",IF(Calculs!T31&gt;0,"Charge à corriger",IF(Calculs!U31&gt;0,"Hors période", "OK"))))</f>
        <v/>
      </c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1" t="n"/>
    </row>
    <row r="32" ht="28" customHeight="1">
      <c r="A32" s="21" t="n"/>
      <c r="B32" s="21" t="n"/>
      <c r="C32" s="21" t="n"/>
      <c r="D32" s="25" t="str">
        <f>IF(C32="","",IFERROR(VLOOKUP(C32,'Personnes'!$A$8:$Z$47,3,FALSE),""))</f>
        <v/>
      </c>
      <c r="E32" s="25" t="str">
        <f>IF(COUNTA(A32:C32,F32:R32)=0,"",IF(OR(A32="",B32="",C32="",COUNTIF(Projets,A32)&lt;&gt;1,COUNTIF(Personnes,C32)&lt;&gt;1),"Identité à corriger",IF(Calculs!T32&gt;0,"Charge à corriger",IF(Calculs!U32&gt;0,"Hors période", "OK"))))</f>
        <v/>
      </c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  <c r="Q32" s="22" t="n"/>
      <c r="R32" s="22" t="n"/>
      <c r="S32" s="21" t="n"/>
    </row>
    <row r="33" ht="28" customHeight="1">
      <c r="A33" s="21" t="n"/>
      <c r="B33" s="21" t="n"/>
      <c r="C33" s="21" t="n"/>
      <c r="D33" s="27" t="str">
        <f>IF(C33="","",IFERROR(VLOOKUP(C33,'Personnes'!$A$8:$Z$47,3,FALSE),""))</f>
        <v/>
      </c>
      <c r="E33" s="27" t="str">
        <f>IF(COUNTA(A33:C33,F33:R33)=0,"",IF(OR(A33="",B33="",C33="",COUNTIF(Projets,A33)&lt;&gt;1,COUNTIF(Personnes,C33)&lt;&gt;1),"Identité à corriger",IF(Calculs!T33&gt;0,"Charge à corriger",IF(Calculs!U33&gt;0,"Hors période", "OK"))))</f>
        <v/>
      </c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  <c r="Q33" s="22" t="n"/>
      <c r="R33" s="22" t="n"/>
      <c r="S33" s="21" t="n"/>
    </row>
    <row r="34" ht="28" customHeight="1">
      <c r="A34" s="21" t="n"/>
      <c r="B34" s="21" t="n"/>
      <c r="C34" s="21" t="n"/>
      <c r="D34" s="25" t="str">
        <f>IF(C34="","",IFERROR(VLOOKUP(C34,'Personnes'!$A$8:$Z$47,3,FALSE),""))</f>
        <v/>
      </c>
      <c r="E34" s="25" t="str">
        <f>IF(COUNTA(A34:C34,F34:R34)=0,"",IF(OR(A34="",B34="",C34="",COUNTIF(Projets,A34)&lt;&gt;1,COUNTIF(Personnes,C34)&lt;&gt;1),"Identité à corriger",IF(Calculs!T34&gt;0,"Charge à corriger",IF(Calculs!U34&gt;0,"Hors période", "OK"))))</f>
        <v/>
      </c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  <c r="Q34" s="22" t="n"/>
      <c r="R34" s="22" t="n"/>
      <c r="S34" s="21" t="n"/>
    </row>
    <row r="35" ht="28" customHeight="1">
      <c r="A35" s="21" t="n"/>
      <c r="B35" s="21" t="n"/>
      <c r="C35" s="21" t="n"/>
      <c r="D35" s="27" t="str">
        <f>IF(C35="","",IFERROR(VLOOKUP(C35,'Personnes'!$A$8:$Z$47,3,FALSE),""))</f>
        <v/>
      </c>
      <c r="E35" s="27" t="str">
        <f>IF(COUNTA(A35:C35,F35:R35)=0,"",IF(OR(A35="",B35="",C35="",COUNTIF(Projets,A35)&lt;&gt;1,COUNTIF(Personnes,C35)&lt;&gt;1),"Identité à corriger",IF(Calculs!T35&gt;0,"Charge à corriger",IF(Calculs!U35&gt;0,"Hors période", "OK"))))</f>
        <v/>
      </c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  <c r="Q35" s="22" t="n"/>
      <c r="R35" s="22" t="n"/>
      <c r="S35" s="21" t="n"/>
    </row>
    <row r="36" ht="28" customHeight="1">
      <c r="A36" s="21" t="n"/>
      <c r="B36" s="21" t="n"/>
      <c r="C36" s="21" t="n"/>
      <c r="D36" s="25" t="str">
        <f>IF(C36="","",IFERROR(VLOOKUP(C36,'Personnes'!$A$8:$Z$47,3,FALSE),""))</f>
        <v/>
      </c>
      <c r="E36" s="25" t="str">
        <f>IF(COUNTA(A36:C36,F36:R36)=0,"",IF(OR(A36="",B36="",C36="",COUNTIF(Projets,A36)&lt;&gt;1,COUNTIF(Personnes,C36)&lt;&gt;1),"Identité à corriger",IF(Calculs!T36&gt;0,"Charge à corriger",IF(Calculs!U36&gt;0,"Hors période", "OK"))))</f>
        <v/>
      </c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2" t="n"/>
      <c r="S36" s="21" t="n"/>
    </row>
    <row r="37" ht="28" customHeight="1">
      <c r="A37" s="21" t="n"/>
      <c r="B37" s="21" t="n"/>
      <c r="C37" s="21" t="n"/>
      <c r="D37" s="27" t="str">
        <f>IF(C37="","",IFERROR(VLOOKUP(C37,'Personnes'!$A$8:$Z$47,3,FALSE),""))</f>
        <v/>
      </c>
      <c r="E37" s="27" t="str">
        <f>IF(COUNTA(A37:C37,F37:R37)=0,"",IF(OR(A37="",B37="",C37="",COUNTIF(Projets,A37)&lt;&gt;1,COUNTIF(Personnes,C37)&lt;&gt;1),"Identité à corriger",IF(Calculs!T37&gt;0,"Charge à corriger",IF(Calculs!U37&gt;0,"Hors période", "OK"))))</f>
        <v/>
      </c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22" t="n"/>
      <c r="P37" s="22" t="n"/>
      <c r="Q37" s="22" t="n"/>
      <c r="R37" s="22" t="n"/>
      <c r="S37" s="21" t="n"/>
    </row>
    <row r="38" ht="28" customHeight="1">
      <c r="A38" s="21" t="n"/>
      <c r="B38" s="21" t="n"/>
      <c r="C38" s="21" t="n"/>
      <c r="D38" s="25" t="str">
        <f>IF(C38="","",IFERROR(VLOOKUP(C38,'Personnes'!$A$8:$Z$47,3,FALSE),""))</f>
        <v/>
      </c>
      <c r="E38" s="25" t="str">
        <f>IF(COUNTA(A38:C38,F38:R38)=0,"",IF(OR(A38="",B38="",C38="",COUNTIF(Projets,A38)&lt;&gt;1,COUNTIF(Personnes,C38)&lt;&gt;1),"Identité à corriger",IF(Calculs!T38&gt;0,"Charge à corriger",IF(Calculs!U38&gt;0,"Hors période", "OK"))))</f>
        <v/>
      </c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  <c r="Q38" s="22" t="n"/>
      <c r="R38" s="22" t="n"/>
      <c r="S38" s="21" t="n"/>
    </row>
    <row r="39" ht="28" customHeight="1">
      <c r="A39" s="21" t="n"/>
      <c r="B39" s="21" t="n"/>
      <c r="C39" s="21" t="n"/>
      <c r="D39" s="27" t="str">
        <f>IF(C39="","",IFERROR(VLOOKUP(C39,'Personnes'!$A$8:$Z$47,3,FALSE),""))</f>
        <v/>
      </c>
      <c r="E39" s="27" t="str">
        <f>IF(COUNTA(A39:C39,F39:R39)=0,"",IF(OR(A39="",B39="",C39="",COUNTIF(Projets,A39)&lt;&gt;1,COUNTIF(Personnes,C39)&lt;&gt;1),"Identité à corriger",IF(Calculs!T39&gt;0,"Charge à corriger",IF(Calculs!U39&gt;0,"Hors période", "OK"))))</f>
        <v/>
      </c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  <c r="Q39" s="22" t="n"/>
      <c r="R39" s="22" t="n"/>
      <c r="S39" s="21" t="n"/>
    </row>
    <row r="40" ht="28" customHeight="1">
      <c r="A40" s="21" t="n"/>
      <c r="B40" s="21" t="n"/>
      <c r="C40" s="21" t="n"/>
      <c r="D40" s="25" t="str">
        <f>IF(C40="","",IFERROR(VLOOKUP(C40,'Personnes'!$A$8:$Z$47,3,FALSE),""))</f>
        <v/>
      </c>
      <c r="E40" s="25" t="str">
        <f>IF(COUNTA(A40:C40,F40:R40)=0,"",IF(OR(A40="",B40="",C40="",COUNTIF(Projets,A40)&lt;&gt;1,COUNTIF(Personnes,C40)&lt;&gt;1),"Identité à corriger",IF(Calculs!T40&gt;0,"Charge à corriger",IF(Calculs!U40&gt;0,"Hors période", "OK"))))</f>
        <v/>
      </c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  <c r="Q40" s="22" t="n"/>
      <c r="R40" s="22" t="n"/>
      <c r="S40" s="21" t="n"/>
    </row>
    <row r="41" ht="28" customHeight="1">
      <c r="A41" s="21" t="n"/>
      <c r="B41" s="21" t="n"/>
      <c r="C41" s="21" t="n"/>
      <c r="D41" s="27" t="str">
        <f>IF(C41="","",IFERROR(VLOOKUP(C41,'Personnes'!$A$8:$Z$47,3,FALSE),""))</f>
        <v/>
      </c>
      <c r="E41" s="27" t="str">
        <f>IF(COUNTA(A41:C41,F41:R41)=0,"",IF(OR(A41="",B41="",C41="",COUNTIF(Projets,A41)&lt;&gt;1,COUNTIF(Personnes,C41)&lt;&gt;1),"Identité à corriger",IF(Calculs!T41&gt;0,"Charge à corriger",IF(Calculs!U41&gt;0,"Hors période", "OK"))))</f>
        <v/>
      </c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  <c r="P41" s="22" t="n"/>
      <c r="Q41" s="22" t="n"/>
      <c r="R41" s="22" t="n"/>
      <c r="S41" s="21" t="n"/>
    </row>
    <row r="42" ht="28" customHeight="1">
      <c r="A42" s="21" t="n"/>
      <c r="B42" s="21" t="n"/>
      <c r="C42" s="21" t="n"/>
      <c r="D42" s="25" t="str">
        <f>IF(C42="","",IFERROR(VLOOKUP(C42,'Personnes'!$A$8:$Z$47,3,FALSE),""))</f>
        <v/>
      </c>
      <c r="E42" s="25" t="str">
        <f>IF(COUNTA(A42:C42,F42:R42)=0,"",IF(OR(A42="",B42="",C42="",COUNTIF(Projets,A42)&lt;&gt;1,COUNTIF(Personnes,C42)&lt;&gt;1),"Identité à corriger",IF(Calculs!T42&gt;0,"Charge à corriger",IF(Calculs!U42&gt;0,"Hors période", "OK"))))</f>
        <v/>
      </c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  <c r="P42" s="22" t="n"/>
      <c r="Q42" s="22" t="n"/>
      <c r="R42" s="22" t="n"/>
      <c r="S42" s="21" t="n"/>
    </row>
    <row r="43" ht="28" customHeight="1">
      <c r="A43" s="21" t="n"/>
      <c r="B43" s="21" t="n"/>
      <c r="C43" s="21" t="n"/>
      <c r="D43" s="27" t="str">
        <f>IF(C43="","",IFERROR(VLOOKUP(C43,'Personnes'!$A$8:$Z$47,3,FALSE),""))</f>
        <v/>
      </c>
      <c r="E43" s="27" t="str">
        <f>IF(COUNTA(A43:C43,F43:R43)=0,"",IF(OR(A43="",B43="",C43="",COUNTIF(Projets,A43)&lt;&gt;1,COUNTIF(Personnes,C43)&lt;&gt;1),"Identité à corriger",IF(Calculs!T43&gt;0,"Charge à corriger",IF(Calculs!U43&gt;0,"Hors période", "OK"))))</f>
        <v/>
      </c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  <c r="P43" s="22" t="n"/>
      <c r="Q43" s="22" t="n"/>
      <c r="R43" s="22" t="n"/>
      <c r="S43" s="21" t="n"/>
    </row>
    <row r="44" ht="28" customHeight="1">
      <c r="A44" s="21" t="n"/>
      <c r="B44" s="21" t="n"/>
      <c r="C44" s="21" t="n"/>
      <c r="D44" s="25" t="str">
        <f>IF(C44="","",IFERROR(VLOOKUP(C44,'Personnes'!$A$8:$Z$47,3,FALSE),""))</f>
        <v/>
      </c>
      <c r="E44" s="25" t="str">
        <f>IF(COUNTA(A44:C44,F44:R44)=0,"",IF(OR(A44="",B44="",C44="",COUNTIF(Projets,A44)&lt;&gt;1,COUNTIF(Personnes,C44)&lt;&gt;1),"Identité à corriger",IF(Calculs!T44&gt;0,"Charge à corriger",IF(Calculs!U44&gt;0,"Hors période", "OK"))))</f>
        <v/>
      </c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  <c r="Q44" s="22" t="n"/>
      <c r="R44" s="22" t="n"/>
      <c r="S44" s="21" t="n"/>
    </row>
    <row r="45" ht="28" customHeight="1">
      <c r="A45" s="21" t="n"/>
      <c r="B45" s="21" t="n"/>
      <c r="C45" s="21" t="n"/>
      <c r="D45" s="27" t="str">
        <f>IF(C45="","",IFERROR(VLOOKUP(C45,'Personnes'!$A$8:$Z$47,3,FALSE),""))</f>
        <v/>
      </c>
      <c r="E45" s="27" t="str">
        <f>IF(COUNTA(A45:C45,F45:R45)=0,"",IF(OR(A45="",B45="",C45="",COUNTIF(Projets,A45)&lt;&gt;1,COUNTIF(Personnes,C45)&lt;&gt;1),"Identité à corriger",IF(Calculs!T45&gt;0,"Charge à corriger",IF(Calculs!U45&gt;0,"Hors période", "OK"))))</f>
        <v/>
      </c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1" t="n"/>
    </row>
    <row r="46" ht="28" customHeight="1">
      <c r="A46" s="21" t="n"/>
      <c r="B46" s="21" t="n"/>
      <c r="C46" s="21" t="n"/>
      <c r="D46" s="25" t="str">
        <f>IF(C46="","",IFERROR(VLOOKUP(C46,'Personnes'!$A$8:$Z$47,3,FALSE),""))</f>
        <v/>
      </c>
      <c r="E46" s="25" t="str">
        <f>IF(COUNTA(A46:C46,F46:R46)=0,"",IF(OR(A46="",B46="",C46="",COUNTIF(Projets,A46)&lt;&gt;1,COUNTIF(Personnes,C46)&lt;&gt;1),"Identité à corriger",IF(Calculs!T46&gt;0,"Charge à corriger",IF(Calculs!U46&gt;0,"Hors période", "OK"))))</f>
        <v/>
      </c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  <c r="Q46" s="22" t="n"/>
      <c r="R46" s="22" t="n"/>
      <c r="S46" s="21" t="n"/>
    </row>
    <row r="47" ht="28" customHeight="1">
      <c r="A47" s="21" t="n"/>
      <c r="B47" s="21" t="n"/>
      <c r="C47" s="21" t="n"/>
      <c r="D47" s="27" t="str">
        <f>IF(C47="","",IFERROR(VLOOKUP(C47,'Personnes'!$A$8:$Z$47,3,FALSE),""))</f>
        <v/>
      </c>
      <c r="E47" s="27" t="str">
        <f>IF(COUNTA(A47:C47,F47:R47)=0,"",IF(OR(A47="",B47="",C47="",COUNTIF(Projets,A47)&lt;&gt;1,COUNTIF(Personnes,C47)&lt;&gt;1),"Identité à corriger",IF(Calculs!T47&gt;0,"Charge à corriger",IF(Calculs!U47&gt;0,"Hors période", "OK"))))</f>
        <v/>
      </c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  <c r="P47" s="22" t="n"/>
      <c r="Q47" s="22" t="n"/>
      <c r="R47" s="22" t="n"/>
      <c r="S47" s="21" t="n"/>
    </row>
    <row r="48" ht="28" customHeight="1">
      <c r="A48" s="21" t="n"/>
      <c r="B48" s="21" t="n"/>
      <c r="C48" s="21" t="n"/>
      <c r="D48" s="25" t="str">
        <f>IF(C48="","",IFERROR(VLOOKUP(C48,'Personnes'!$A$8:$Z$47,3,FALSE),""))</f>
        <v/>
      </c>
      <c r="E48" s="25" t="str">
        <f>IF(COUNTA(A48:C48,F48:R48)=0,"",IF(OR(A48="",B48="",C48="",COUNTIF(Projets,A48)&lt;&gt;1,COUNTIF(Personnes,C48)&lt;&gt;1),"Identité à corriger",IF(Calculs!T48&gt;0,"Charge à corriger",IF(Calculs!U48&gt;0,"Hors période", "OK"))))</f>
        <v/>
      </c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22" t="n"/>
      <c r="P48" s="22" t="n"/>
      <c r="Q48" s="22" t="n"/>
      <c r="R48" s="22" t="n"/>
      <c r="S48" s="21" t="n"/>
    </row>
    <row r="49" ht="28" customHeight="1">
      <c r="A49" s="21" t="n"/>
      <c r="B49" s="21" t="n"/>
      <c r="C49" s="21" t="n"/>
      <c r="D49" s="27" t="str">
        <f>IF(C49="","",IFERROR(VLOOKUP(C49,'Personnes'!$A$8:$Z$47,3,FALSE),""))</f>
        <v/>
      </c>
      <c r="E49" s="27" t="str">
        <f>IF(COUNTA(A49:C49,F49:R49)=0,"",IF(OR(A49="",B49="",C49="",COUNTIF(Projets,A49)&lt;&gt;1,COUNTIF(Personnes,C49)&lt;&gt;1),"Identité à corriger",IF(Calculs!T49&gt;0,"Charge à corriger",IF(Calculs!U49&gt;0,"Hors période", "OK"))))</f>
        <v/>
      </c>
      <c r="F49" s="22" t="n"/>
      <c r="G49" s="22" t="n"/>
      <c r="H49" s="22" t="n"/>
      <c r="I49" s="22" t="n"/>
      <c r="J49" s="22" t="n"/>
      <c r="K49" s="22" t="n"/>
      <c r="L49" s="22" t="n"/>
      <c r="M49" s="22" t="n"/>
      <c r="N49" s="22" t="n"/>
      <c r="O49" s="22" t="n"/>
      <c r="P49" s="22" t="n"/>
      <c r="Q49" s="22" t="n"/>
      <c r="R49" s="22" t="n"/>
      <c r="S49" s="21" t="n"/>
    </row>
    <row r="50" ht="28" customHeight="1">
      <c r="A50" s="21" t="n"/>
      <c r="B50" s="21" t="n"/>
      <c r="C50" s="21" t="n"/>
      <c r="D50" s="25" t="str">
        <f>IF(C50="","",IFERROR(VLOOKUP(C50,'Personnes'!$A$8:$Z$47,3,FALSE),""))</f>
        <v/>
      </c>
      <c r="E50" s="25" t="str">
        <f>IF(COUNTA(A50:C50,F50:R50)=0,"",IF(OR(A50="",B50="",C50="",COUNTIF(Projets,A50)&lt;&gt;1,COUNTIF(Personnes,C50)&lt;&gt;1),"Identité à corriger",IF(Calculs!T50&gt;0,"Charge à corriger",IF(Calculs!U50&gt;0,"Hors période", "OK"))))</f>
        <v/>
      </c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22" t="n"/>
      <c r="P50" s="22" t="n"/>
      <c r="Q50" s="22" t="n"/>
      <c r="R50" s="22" t="n"/>
      <c r="S50" s="21" t="n"/>
    </row>
    <row r="51" ht="28" customHeight="1">
      <c r="A51" s="21" t="n"/>
      <c r="B51" s="21" t="n"/>
      <c r="C51" s="21" t="n"/>
      <c r="D51" s="27" t="str">
        <f>IF(C51="","",IFERROR(VLOOKUP(C51,'Personnes'!$A$8:$Z$47,3,FALSE),""))</f>
        <v/>
      </c>
      <c r="E51" s="27" t="str">
        <f>IF(COUNTA(A51:C51,F51:R51)=0,"",IF(OR(A51="",B51="",C51="",COUNTIF(Projets,A51)&lt;&gt;1,COUNTIF(Personnes,C51)&lt;&gt;1),"Identité à corriger",IF(Calculs!T51&gt;0,"Charge à corriger",IF(Calculs!U51&gt;0,"Hors période", "OK"))))</f>
        <v/>
      </c>
      <c r="F51" s="22" t="n"/>
      <c r="G51" s="22" t="n"/>
      <c r="H51" s="22" t="n"/>
      <c r="I51" s="22" t="n"/>
      <c r="J51" s="22" t="n"/>
      <c r="K51" s="22" t="n"/>
      <c r="L51" s="22" t="n"/>
      <c r="M51" s="22" t="n"/>
      <c r="N51" s="22" t="n"/>
      <c r="O51" s="22" t="n"/>
      <c r="P51" s="22" t="n"/>
      <c r="Q51" s="22" t="n"/>
      <c r="R51" s="22" t="n"/>
      <c r="S51" s="21" t="n"/>
    </row>
    <row r="52" ht="28" customHeight="1">
      <c r="A52" s="21" t="n"/>
      <c r="B52" s="21" t="n"/>
      <c r="C52" s="21" t="n"/>
      <c r="D52" s="25" t="str">
        <f>IF(C52="","",IFERROR(VLOOKUP(C52,'Personnes'!$A$8:$Z$47,3,FALSE),""))</f>
        <v/>
      </c>
      <c r="E52" s="25" t="str">
        <f>IF(COUNTA(A52:C52,F52:R52)=0,"",IF(OR(A52="",B52="",C52="",COUNTIF(Projets,A52)&lt;&gt;1,COUNTIF(Personnes,C52)&lt;&gt;1),"Identité à corriger",IF(Calculs!T52&gt;0,"Charge à corriger",IF(Calculs!U52&gt;0,"Hors période", "OK"))))</f>
        <v/>
      </c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22" t="n"/>
      <c r="P52" s="22" t="n"/>
      <c r="Q52" s="22" t="n"/>
      <c r="R52" s="22" t="n"/>
      <c r="S52" s="21" t="n"/>
    </row>
    <row r="53" ht="28" customHeight="1">
      <c r="A53" s="21" t="n"/>
      <c r="B53" s="21" t="n"/>
      <c r="C53" s="21" t="n"/>
      <c r="D53" s="27" t="str">
        <f>IF(C53="","",IFERROR(VLOOKUP(C53,'Personnes'!$A$8:$Z$47,3,FALSE),""))</f>
        <v/>
      </c>
      <c r="E53" s="27" t="str">
        <f>IF(COUNTA(A53:C53,F53:R53)=0,"",IF(OR(A53="",B53="",C53="",COUNTIF(Projets,A53)&lt;&gt;1,COUNTIF(Personnes,C53)&lt;&gt;1),"Identité à corriger",IF(Calculs!T53&gt;0,"Charge à corriger",IF(Calculs!U53&gt;0,"Hors période", "OK"))))</f>
        <v/>
      </c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22" t="n"/>
      <c r="R53" s="22" t="n"/>
      <c r="S53" s="21" t="n"/>
    </row>
    <row r="54" ht="28" customHeight="1">
      <c r="A54" s="21" t="n"/>
      <c r="B54" s="21" t="n"/>
      <c r="C54" s="21" t="n"/>
      <c r="D54" s="25" t="str">
        <f>IF(C54="","",IFERROR(VLOOKUP(C54,'Personnes'!$A$8:$Z$47,3,FALSE),""))</f>
        <v/>
      </c>
      <c r="E54" s="25" t="str">
        <f>IF(COUNTA(A54:C54,F54:R54)=0,"",IF(OR(A54="",B54="",C54="",COUNTIF(Projets,A54)&lt;&gt;1,COUNTIF(Personnes,C54)&lt;&gt;1),"Identité à corriger",IF(Calculs!T54&gt;0,"Charge à corriger",IF(Calculs!U54&gt;0,"Hors période", "OK"))))</f>
        <v/>
      </c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22" t="n"/>
      <c r="P54" s="22" t="n"/>
      <c r="Q54" s="22" t="n"/>
      <c r="R54" s="22" t="n"/>
      <c r="S54" s="21" t="n"/>
    </row>
    <row r="55" ht="28" customHeight="1">
      <c r="A55" s="21" t="n"/>
      <c r="B55" s="21" t="n"/>
      <c r="C55" s="21" t="n"/>
      <c r="D55" s="27" t="str">
        <f>IF(C55="","",IFERROR(VLOOKUP(C55,'Personnes'!$A$8:$Z$47,3,FALSE),""))</f>
        <v/>
      </c>
      <c r="E55" s="27" t="str">
        <f>IF(COUNTA(A55:C55,F55:R55)=0,"",IF(OR(A55="",B55="",C55="",COUNTIF(Projets,A55)&lt;&gt;1,COUNTIF(Personnes,C55)&lt;&gt;1),"Identité à corriger",IF(Calculs!T55&gt;0,"Charge à corriger",IF(Calculs!U55&gt;0,"Hors période", "OK"))))</f>
        <v/>
      </c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22" t="n"/>
      <c r="Q55" s="22" t="n"/>
      <c r="R55" s="22" t="n"/>
      <c r="S55" s="21" t="n"/>
    </row>
    <row r="56" ht="28" customHeight="1">
      <c r="A56" s="21" t="n"/>
      <c r="B56" s="21" t="n"/>
      <c r="C56" s="21" t="n"/>
      <c r="D56" s="25" t="str">
        <f>IF(C56="","",IFERROR(VLOOKUP(C56,'Personnes'!$A$8:$Z$47,3,FALSE),""))</f>
        <v/>
      </c>
      <c r="E56" s="25" t="str">
        <f>IF(COUNTA(A56:C56,F56:R56)=0,"",IF(OR(A56="",B56="",C56="",COUNTIF(Projets,A56)&lt;&gt;1,COUNTIF(Personnes,C56)&lt;&gt;1),"Identité à corriger",IF(Calculs!T56&gt;0,"Charge à corriger",IF(Calculs!U56&gt;0,"Hors période", "OK"))))</f>
        <v/>
      </c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  <c r="Q56" s="22" t="n"/>
      <c r="R56" s="22" t="n"/>
      <c r="S56" s="21" t="n"/>
    </row>
    <row r="57" ht="28" customHeight="1">
      <c r="A57" s="21" t="n"/>
      <c r="B57" s="21" t="n"/>
      <c r="C57" s="21" t="n"/>
      <c r="D57" s="27" t="str">
        <f>IF(C57="","",IFERROR(VLOOKUP(C57,'Personnes'!$A$8:$Z$47,3,FALSE),""))</f>
        <v/>
      </c>
      <c r="E57" s="27" t="str">
        <f>IF(COUNTA(A57:C57,F57:R57)=0,"",IF(OR(A57="",B57="",C57="",COUNTIF(Projets,A57)&lt;&gt;1,COUNTIF(Personnes,C57)&lt;&gt;1),"Identité à corriger",IF(Calculs!T57&gt;0,"Charge à corriger",IF(Calculs!U57&gt;0,"Hors période", "OK"))))</f>
        <v/>
      </c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  <c r="Q57" s="22" t="n"/>
      <c r="R57" s="22" t="n"/>
      <c r="S57" s="21" t="n"/>
    </row>
    <row r="58" ht="28" customHeight="1">
      <c r="A58" s="21" t="n"/>
      <c r="B58" s="21" t="n"/>
      <c r="C58" s="21" t="n"/>
      <c r="D58" s="25" t="str">
        <f>IF(C58="","",IFERROR(VLOOKUP(C58,'Personnes'!$A$8:$Z$47,3,FALSE),""))</f>
        <v/>
      </c>
      <c r="E58" s="25" t="str">
        <f>IF(COUNTA(A58:C58,F58:R58)=0,"",IF(OR(A58="",B58="",C58="",COUNTIF(Projets,A58)&lt;&gt;1,COUNTIF(Personnes,C58)&lt;&gt;1),"Identité à corriger",IF(Calculs!T58&gt;0,"Charge à corriger",IF(Calculs!U58&gt;0,"Hors période", "OK"))))</f>
        <v/>
      </c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1" t="n"/>
    </row>
    <row r="59" ht="28" customHeight="1">
      <c r="A59" s="21" t="n"/>
      <c r="B59" s="21" t="n"/>
      <c r="C59" s="21" t="n"/>
      <c r="D59" s="27" t="str">
        <f>IF(C59="","",IFERROR(VLOOKUP(C59,'Personnes'!$A$8:$Z$47,3,FALSE),""))</f>
        <v/>
      </c>
      <c r="E59" s="27" t="str">
        <f>IF(COUNTA(A59:C59,F59:R59)=0,"",IF(OR(A59="",B59="",C59="",COUNTIF(Projets,A59)&lt;&gt;1,COUNTIF(Personnes,C59)&lt;&gt;1),"Identité à corriger",IF(Calculs!T59&gt;0,"Charge à corriger",IF(Calculs!U59&gt;0,"Hors période", "OK"))))</f>
        <v/>
      </c>
      <c r="F59" s="22" t="n"/>
      <c r="G59" s="22" t="n"/>
      <c r="H59" s="22" t="n"/>
      <c r="I59" s="22" t="n"/>
      <c r="J59" s="22" t="n"/>
      <c r="K59" s="22" t="n"/>
      <c r="L59" s="22" t="n"/>
      <c r="M59" s="22" t="n"/>
      <c r="N59" s="22" t="n"/>
      <c r="O59" s="22" t="n"/>
      <c r="P59" s="22" t="n"/>
      <c r="Q59" s="22" t="n"/>
      <c r="R59" s="22" t="n"/>
      <c r="S59" s="21" t="n"/>
    </row>
    <row r="60" ht="28" customHeight="1">
      <c r="A60" s="21" t="n"/>
      <c r="B60" s="21" t="n"/>
      <c r="C60" s="21" t="n"/>
      <c r="D60" s="25" t="str">
        <f>IF(C60="","",IFERROR(VLOOKUP(C60,'Personnes'!$A$8:$Z$47,3,FALSE),""))</f>
        <v/>
      </c>
      <c r="E60" s="25" t="str">
        <f>IF(COUNTA(A60:C60,F60:R60)=0,"",IF(OR(A60="",B60="",C60="",COUNTIF(Projets,A60)&lt;&gt;1,COUNTIF(Personnes,C60)&lt;&gt;1),"Identité à corriger",IF(Calculs!T60&gt;0,"Charge à corriger",IF(Calculs!U60&gt;0,"Hors période", "OK"))))</f>
        <v/>
      </c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  <c r="Q60" s="22" t="n"/>
      <c r="R60" s="22" t="n"/>
      <c r="S60" s="21" t="n"/>
    </row>
    <row r="61" ht="28" customHeight="1">
      <c r="A61" s="21" t="n"/>
      <c r="B61" s="21" t="n"/>
      <c r="C61" s="21" t="n"/>
      <c r="D61" s="27" t="str">
        <f>IF(C61="","",IFERROR(VLOOKUP(C61,'Personnes'!$A$8:$Z$47,3,FALSE),""))</f>
        <v/>
      </c>
      <c r="E61" s="27" t="str">
        <f>IF(COUNTA(A61:C61,F61:R61)=0,"",IF(OR(A61="",B61="",C61="",COUNTIF(Projets,A61)&lt;&gt;1,COUNTIF(Personnes,C61)&lt;&gt;1),"Identité à corriger",IF(Calculs!T61&gt;0,"Charge à corriger",IF(Calculs!U61&gt;0,"Hors période", "OK"))))</f>
        <v/>
      </c>
      <c r="F61" s="22" t="n"/>
      <c r="G61" s="22" t="n"/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1" t="n"/>
    </row>
    <row r="62" ht="28" customHeight="1">
      <c r="A62" s="21" t="n"/>
      <c r="B62" s="21" t="n"/>
      <c r="C62" s="21" t="n"/>
      <c r="D62" s="25" t="str">
        <f>IF(C62="","",IFERROR(VLOOKUP(C62,'Personnes'!$A$8:$Z$47,3,FALSE),""))</f>
        <v/>
      </c>
      <c r="E62" s="25" t="str">
        <f>IF(COUNTA(A62:C62,F62:R62)=0,"",IF(OR(A62="",B62="",C62="",COUNTIF(Projets,A62)&lt;&gt;1,COUNTIF(Personnes,C62)&lt;&gt;1),"Identité à corriger",IF(Calculs!T62&gt;0,"Charge à corriger",IF(Calculs!U62&gt;0,"Hors période", "OK"))))</f>
        <v/>
      </c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1" t="n"/>
    </row>
    <row r="63" ht="28" customHeight="1">
      <c r="A63" s="21" t="n"/>
      <c r="B63" s="21" t="n"/>
      <c r="C63" s="21" t="n"/>
      <c r="D63" s="27" t="str">
        <f>IF(C63="","",IFERROR(VLOOKUP(C63,'Personnes'!$A$8:$Z$47,3,FALSE),""))</f>
        <v/>
      </c>
      <c r="E63" s="27" t="str">
        <f>IF(COUNTA(A63:C63,F63:R63)=0,"",IF(OR(A63="",B63="",C63="",COUNTIF(Projets,A63)&lt;&gt;1,COUNTIF(Personnes,C63)&lt;&gt;1),"Identité à corriger",IF(Calculs!T63&gt;0,"Charge à corriger",IF(Calculs!U63&gt;0,"Hors période", "OK"))))</f>
        <v/>
      </c>
      <c r="F63" s="22" t="n"/>
      <c r="G63" s="22" t="n"/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1" t="n"/>
    </row>
    <row r="64" ht="28" customHeight="1">
      <c r="A64" s="21" t="n"/>
      <c r="B64" s="21" t="n"/>
      <c r="C64" s="21" t="n"/>
      <c r="D64" s="25" t="str">
        <f>IF(C64="","",IFERROR(VLOOKUP(C64,'Personnes'!$A$8:$Z$47,3,FALSE),""))</f>
        <v/>
      </c>
      <c r="E64" s="25" t="str">
        <f>IF(COUNTA(A64:C64,F64:R64)=0,"",IF(OR(A64="",B64="",C64="",COUNTIF(Projets,A64)&lt;&gt;1,COUNTIF(Personnes,C64)&lt;&gt;1),"Identité à corriger",IF(Calculs!T64&gt;0,"Charge à corriger",IF(Calculs!U64&gt;0,"Hors période", "OK"))))</f>
        <v/>
      </c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22" t="n"/>
      <c r="P64" s="22" t="n"/>
      <c r="Q64" s="22" t="n"/>
      <c r="R64" s="22" t="n"/>
      <c r="S64" s="21" t="n"/>
    </row>
    <row r="65" ht="28" customHeight="1">
      <c r="A65" s="21" t="n"/>
      <c r="B65" s="21" t="n"/>
      <c r="C65" s="21" t="n"/>
      <c r="D65" s="27" t="str">
        <f>IF(C65="","",IFERROR(VLOOKUP(C65,'Personnes'!$A$8:$Z$47,3,FALSE),""))</f>
        <v/>
      </c>
      <c r="E65" s="27" t="str">
        <f>IF(COUNTA(A65:C65,F65:R65)=0,"",IF(OR(A65="",B65="",C65="",COUNTIF(Projets,A65)&lt;&gt;1,COUNTIF(Personnes,C65)&lt;&gt;1),"Identité à corriger",IF(Calculs!T65&gt;0,"Charge à corriger",IF(Calculs!U65&gt;0,"Hors période", "OK"))))</f>
        <v/>
      </c>
      <c r="F65" s="22" t="n"/>
      <c r="G65" s="22" t="n"/>
      <c r="H65" s="22" t="n"/>
      <c r="I65" s="22" t="n"/>
      <c r="J65" s="22" t="n"/>
      <c r="K65" s="22" t="n"/>
      <c r="L65" s="22" t="n"/>
      <c r="M65" s="22" t="n"/>
      <c r="N65" s="22" t="n"/>
      <c r="O65" s="22" t="n"/>
      <c r="P65" s="22" t="n"/>
      <c r="Q65" s="22" t="n"/>
      <c r="R65" s="22" t="n"/>
      <c r="S65" s="21" t="n"/>
    </row>
    <row r="66" ht="28" customHeight="1">
      <c r="A66" s="21" t="n"/>
      <c r="B66" s="21" t="n"/>
      <c r="C66" s="21" t="n"/>
      <c r="D66" s="25" t="str">
        <f>IF(C66="","",IFERROR(VLOOKUP(C66,'Personnes'!$A$8:$Z$47,3,FALSE),""))</f>
        <v/>
      </c>
      <c r="E66" s="25" t="str">
        <f>IF(COUNTA(A66:C66,F66:R66)=0,"",IF(OR(A66="",B66="",C66="",COUNTIF(Projets,A66)&lt;&gt;1,COUNTIF(Personnes,C66)&lt;&gt;1),"Identité à corriger",IF(Calculs!T66&gt;0,"Charge à corriger",IF(Calculs!U66&gt;0,"Hors période", "OK"))))</f>
        <v/>
      </c>
      <c r="F66" s="22" t="n"/>
      <c r="G66" s="22" t="n"/>
      <c r="H66" s="22" t="n"/>
      <c r="I66" s="22" t="n"/>
      <c r="J66" s="22" t="n"/>
      <c r="K66" s="22" t="n"/>
      <c r="L66" s="22" t="n"/>
      <c r="M66" s="22" t="n"/>
      <c r="N66" s="22" t="n"/>
      <c r="O66" s="22" t="n"/>
      <c r="P66" s="22" t="n"/>
      <c r="Q66" s="22" t="n"/>
      <c r="R66" s="22" t="n"/>
      <c r="S66" s="21" t="n"/>
    </row>
    <row r="67" ht="28" customHeight="1">
      <c r="A67" s="21" t="n"/>
      <c r="B67" s="21" t="n"/>
      <c r="C67" s="21" t="n"/>
      <c r="D67" s="27" t="str">
        <f>IF(C67="","",IFERROR(VLOOKUP(C67,'Personnes'!$A$8:$Z$47,3,FALSE),""))</f>
        <v/>
      </c>
      <c r="E67" s="27" t="str">
        <f>IF(COUNTA(A67:C67,F67:R67)=0,"",IF(OR(A67="",B67="",C67="",COUNTIF(Projets,A67)&lt;&gt;1,COUNTIF(Personnes,C67)&lt;&gt;1),"Identité à corriger",IF(Calculs!T67&gt;0,"Charge à corriger",IF(Calculs!U67&gt;0,"Hors période", "OK"))))</f>
        <v/>
      </c>
      <c r="F67" s="22" t="n"/>
      <c r="G67" s="22" t="n"/>
      <c r="H67" s="22" t="n"/>
      <c r="I67" s="22" t="n"/>
      <c r="J67" s="22" t="n"/>
      <c r="K67" s="22" t="n"/>
      <c r="L67" s="22" t="n"/>
      <c r="M67" s="22" t="n"/>
      <c r="N67" s="22" t="n"/>
      <c r="O67" s="22" t="n"/>
      <c r="P67" s="22" t="n"/>
      <c r="Q67" s="22" t="n"/>
      <c r="R67" s="22" t="n"/>
      <c r="S67" s="21" t="n"/>
    </row>
    <row r="68" ht="28" customHeight="1">
      <c r="A68" s="21" t="n"/>
      <c r="B68" s="21" t="n"/>
      <c r="C68" s="21" t="n"/>
      <c r="D68" s="25" t="str">
        <f>IF(C68="","",IFERROR(VLOOKUP(C68,'Personnes'!$A$8:$Z$47,3,FALSE),""))</f>
        <v/>
      </c>
      <c r="E68" s="25" t="str">
        <f>IF(COUNTA(A68:C68,F68:R68)=0,"",IF(OR(A68="",B68="",C68="",COUNTIF(Projets,A68)&lt;&gt;1,COUNTIF(Personnes,C68)&lt;&gt;1),"Identité à corriger",IF(Calculs!T68&gt;0,"Charge à corriger",IF(Calculs!U68&gt;0,"Hors période", "OK"))))</f>
        <v/>
      </c>
      <c r="F68" s="22" t="n"/>
      <c r="G68" s="22" t="n"/>
      <c r="H68" s="22" t="n"/>
      <c r="I68" s="22" t="n"/>
      <c r="J68" s="22" t="n"/>
      <c r="K68" s="22" t="n"/>
      <c r="L68" s="22" t="n"/>
      <c r="M68" s="22" t="n"/>
      <c r="N68" s="22" t="n"/>
      <c r="O68" s="22" t="n"/>
      <c r="P68" s="22" t="n"/>
      <c r="Q68" s="22" t="n"/>
      <c r="R68" s="22" t="n"/>
      <c r="S68" s="21" t="n"/>
    </row>
    <row r="69" ht="28" customHeight="1">
      <c r="A69" s="21" t="n"/>
      <c r="B69" s="21" t="n"/>
      <c r="C69" s="21" t="n"/>
      <c r="D69" s="27" t="str">
        <f>IF(C69="","",IFERROR(VLOOKUP(C69,'Personnes'!$A$8:$Z$47,3,FALSE),""))</f>
        <v/>
      </c>
      <c r="E69" s="27" t="str">
        <f>IF(COUNTA(A69:C69,F69:R69)=0,"",IF(OR(A69="",B69="",C69="",COUNTIF(Projets,A69)&lt;&gt;1,COUNTIF(Personnes,C69)&lt;&gt;1),"Identité à corriger",IF(Calculs!T69&gt;0,"Charge à corriger",IF(Calculs!U69&gt;0,"Hors période", "OK"))))</f>
        <v/>
      </c>
      <c r="F69" s="22" t="n"/>
      <c r="G69" s="22" t="n"/>
      <c r="H69" s="22" t="n"/>
      <c r="I69" s="22" t="n"/>
      <c r="J69" s="22" t="n"/>
      <c r="K69" s="22" t="n"/>
      <c r="L69" s="22" t="n"/>
      <c r="M69" s="22" t="n"/>
      <c r="N69" s="22" t="n"/>
      <c r="O69" s="22" t="n"/>
      <c r="P69" s="22" t="n"/>
      <c r="Q69" s="22" t="n"/>
      <c r="R69" s="22" t="n"/>
      <c r="S69" s="21" t="n"/>
    </row>
    <row r="70" ht="28" customHeight="1">
      <c r="A70" s="21" t="n"/>
      <c r="B70" s="21" t="n"/>
      <c r="C70" s="21" t="n"/>
      <c r="D70" s="25" t="str">
        <f>IF(C70="","",IFERROR(VLOOKUP(C70,'Personnes'!$A$8:$Z$47,3,FALSE),""))</f>
        <v/>
      </c>
      <c r="E70" s="25" t="str">
        <f>IF(COUNTA(A70:C70,F70:R70)=0,"",IF(OR(A70="",B70="",C70="",COUNTIF(Projets,A70)&lt;&gt;1,COUNTIF(Personnes,C70)&lt;&gt;1),"Identité à corriger",IF(Calculs!T70&gt;0,"Charge à corriger",IF(Calculs!U70&gt;0,"Hors période", "OK"))))</f>
        <v/>
      </c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22" t="n"/>
      <c r="Q70" s="22" t="n"/>
      <c r="R70" s="22" t="n"/>
      <c r="S70" s="21" t="n"/>
    </row>
    <row r="71" ht="28" customHeight="1">
      <c r="A71" s="21" t="n"/>
      <c r="B71" s="21" t="n"/>
      <c r="C71" s="21" t="n"/>
      <c r="D71" s="27" t="str">
        <f>IF(C71="","",IFERROR(VLOOKUP(C71,'Personnes'!$A$8:$Z$47,3,FALSE),""))</f>
        <v/>
      </c>
      <c r="E71" s="27" t="str">
        <f>IF(COUNTA(A71:C71,F71:R71)=0,"",IF(OR(A71="",B71="",C71="",COUNTIF(Projets,A71)&lt;&gt;1,COUNTIF(Personnes,C71)&lt;&gt;1),"Identité à corriger",IF(Calculs!T71&gt;0,"Charge à corriger",IF(Calculs!U71&gt;0,"Hors période", "OK"))))</f>
        <v/>
      </c>
      <c r="F71" s="22" t="n"/>
      <c r="G71" s="22" t="n"/>
      <c r="H71" s="22" t="n"/>
      <c r="I71" s="22" t="n"/>
      <c r="J71" s="22" t="n"/>
      <c r="K71" s="22" t="n"/>
      <c r="L71" s="22" t="n"/>
      <c r="M71" s="22" t="n"/>
      <c r="N71" s="22" t="n"/>
      <c r="O71" s="22" t="n"/>
      <c r="P71" s="22" t="n"/>
      <c r="Q71" s="22" t="n"/>
      <c r="R71" s="22" t="n"/>
      <c r="S71" s="21" t="n"/>
    </row>
    <row r="72" ht="28" customHeight="1">
      <c r="A72" s="21" t="n"/>
      <c r="B72" s="21" t="n"/>
      <c r="C72" s="21" t="n"/>
      <c r="D72" s="25" t="str">
        <f>IF(C72="","",IFERROR(VLOOKUP(C72,'Personnes'!$A$8:$Z$47,3,FALSE),""))</f>
        <v/>
      </c>
      <c r="E72" s="25" t="str">
        <f>IF(COUNTA(A72:C72,F72:R72)=0,"",IF(OR(A72="",B72="",C72="",COUNTIF(Projets,A72)&lt;&gt;1,COUNTIF(Personnes,C72)&lt;&gt;1),"Identité à corriger",IF(Calculs!T72&gt;0,"Charge à corriger",IF(Calculs!U72&gt;0,"Hors période", "OK"))))</f>
        <v/>
      </c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22" t="n"/>
      <c r="P72" s="22" t="n"/>
      <c r="Q72" s="22" t="n"/>
      <c r="R72" s="22" t="n"/>
      <c r="S72" s="21" t="n"/>
    </row>
    <row r="73" ht="28" customHeight="1">
      <c r="A73" s="21" t="n"/>
      <c r="B73" s="21" t="n"/>
      <c r="C73" s="21" t="n"/>
      <c r="D73" s="27" t="str">
        <f>IF(C73="","",IFERROR(VLOOKUP(C73,'Personnes'!$A$8:$Z$47,3,FALSE),""))</f>
        <v/>
      </c>
      <c r="E73" s="27" t="str">
        <f>IF(COUNTA(A73:C73,F73:R73)=0,"",IF(OR(A73="",B73="",C73="",COUNTIF(Projets,A73)&lt;&gt;1,COUNTIF(Personnes,C73)&lt;&gt;1),"Identité à corriger",IF(Calculs!T73&gt;0,"Charge à corriger",IF(Calculs!U73&gt;0,"Hors période", "OK"))))</f>
        <v/>
      </c>
      <c r="F73" s="22" t="n"/>
      <c r="G73" s="22" t="n"/>
      <c r="H73" s="22" t="n"/>
      <c r="I73" s="22" t="n"/>
      <c r="J73" s="22" t="n"/>
      <c r="K73" s="22" t="n"/>
      <c r="L73" s="22" t="n"/>
      <c r="M73" s="22" t="n"/>
      <c r="N73" s="22" t="n"/>
      <c r="O73" s="22" t="n"/>
      <c r="P73" s="22" t="n"/>
      <c r="Q73" s="22" t="n"/>
      <c r="R73" s="22" t="n"/>
      <c r="S73" s="21" t="n"/>
    </row>
    <row r="74" ht="28" customHeight="1">
      <c r="A74" s="21" t="n"/>
      <c r="B74" s="21" t="n"/>
      <c r="C74" s="21" t="n"/>
      <c r="D74" s="25" t="str">
        <f>IF(C74="","",IFERROR(VLOOKUP(C74,'Personnes'!$A$8:$Z$47,3,FALSE),""))</f>
        <v/>
      </c>
      <c r="E74" s="25" t="str">
        <f>IF(COUNTA(A74:C74,F74:R74)=0,"",IF(OR(A74="",B74="",C74="",COUNTIF(Projets,A74)&lt;&gt;1,COUNTIF(Personnes,C74)&lt;&gt;1),"Identité à corriger",IF(Calculs!T74&gt;0,"Charge à corriger",IF(Calculs!U74&gt;0,"Hors période", "OK"))))</f>
        <v/>
      </c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22" t="n"/>
      <c r="P74" s="22" t="n"/>
      <c r="Q74" s="22" t="n"/>
      <c r="R74" s="22" t="n"/>
      <c r="S74" s="21" t="n"/>
    </row>
    <row r="75" ht="28" customHeight="1">
      <c r="A75" s="21" t="n"/>
      <c r="B75" s="21" t="n"/>
      <c r="C75" s="21" t="n"/>
      <c r="D75" s="27" t="str">
        <f>IF(C75="","",IFERROR(VLOOKUP(C75,'Personnes'!$A$8:$Z$47,3,FALSE),""))</f>
        <v/>
      </c>
      <c r="E75" s="27" t="str">
        <f>IF(COUNTA(A75:C75,F75:R75)=0,"",IF(OR(A75="",B75="",C75="",COUNTIF(Projets,A75)&lt;&gt;1,COUNTIF(Personnes,C75)&lt;&gt;1),"Identité à corriger",IF(Calculs!T75&gt;0,"Charge à corriger",IF(Calculs!U75&gt;0,"Hors période", "OK"))))</f>
        <v/>
      </c>
      <c r="F75" s="22" t="n"/>
      <c r="G75" s="22" t="n"/>
      <c r="H75" s="22" t="n"/>
      <c r="I75" s="22" t="n"/>
      <c r="J75" s="22" t="n"/>
      <c r="K75" s="22" t="n"/>
      <c r="L75" s="22" t="n"/>
      <c r="M75" s="22" t="n"/>
      <c r="N75" s="22" t="n"/>
      <c r="O75" s="22" t="n"/>
      <c r="P75" s="22" t="n"/>
      <c r="Q75" s="22" t="n"/>
      <c r="R75" s="22" t="n"/>
      <c r="S75" s="21" t="n"/>
    </row>
    <row r="76" ht="28" customHeight="1">
      <c r="A76" s="21" t="n"/>
      <c r="B76" s="21" t="n"/>
      <c r="C76" s="21" t="n"/>
      <c r="D76" s="25" t="str">
        <f>IF(C76="","",IFERROR(VLOOKUP(C76,'Personnes'!$A$8:$Z$47,3,FALSE),""))</f>
        <v/>
      </c>
      <c r="E76" s="25" t="str">
        <f>IF(COUNTA(A76:C76,F76:R76)=0,"",IF(OR(A76="",B76="",C76="",COUNTIF(Projets,A76)&lt;&gt;1,COUNTIF(Personnes,C76)&lt;&gt;1),"Identité à corriger",IF(Calculs!T76&gt;0,"Charge à corriger",IF(Calculs!U76&gt;0,"Hors période", "OK"))))</f>
        <v/>
      </c>
      <c r="F76" s="22" t="n"/>
      <c r="G76" s="22" t="n"/>
      <c r="H76" s="22" t="n"/>
      <c r="I76" s="22" t="n"/>
      <c r="J76" s="22" t="n"/>
      <c r="K76" s="22" t="n"/>
      <c r="L76" s="22" t="n"/>
      <c r="M76" s="22" t="n"/>
      <c r="N76" s="22" t="n"/>
      <c r="O76" s="22" t="n"/>
      <c r="P76" s="22" t="n"/>
      <c r="Q76" s="22" t="n"/>
      <c r="R76" s="22" t="n"/>
      <c r="S76" s="21" t="n"/>
    </row>
    <row r="77" ht="28" customHeight="1">
      <c r="A77" s="21" t="n"/>
      <c r="B77" s="21" t="n"/>
      <c r="C77" s="21" t="n"/>
      <c r="D77" s="27" t="str">
        <f>IF(C77="","",IFERROR(VLOOKUP(C77,'Personnes'!$A$8:$Z$47,3,FALSE),""))</f>
        <v/>
      </c>
      <c r="E77" s="27" t="str">
        <f>IF(COUNTA(A77:C77,F77:R77)=0,"",IF(OR(A77="",B77="",C77="",COUNTIF(Projets,A77)&lt;&gt;1,COUNTIF(Personnes,C77)&lt;&gt;1),"Identité à corriger",IF(Calculs!T77&gt;0,"Charge à corriger",IF(Calculs!U77&gt;0,"Hors période", "OK"))))</f>
        <v/>
      </c>
      <c r="F77" s="22" t="n"/>
      <c r="G77" s="22" t="n"/>
      <c r="H77" s="22" t="n"/>
      <c r="I77" s="22" t="n"/>
      <c r="J77" s="22" t="n"/>
      <c r="K77" s="22" t="n"/>
      <c r="L77" s="22" t="n"/>
      <c r="M77" s="22" t="n"/>
      <c r="N77" s="22" t="n"/>
      <c r="O77" s="22" t="n"/>
      <c r="P77" s="22" t="n"/>
      <c r="Q77" s="22" t="n"/>
      <c r="R77" s="22" t="n"/>
      <c r="S77" s="21" t="n"/>
    </row>
    <row r="78" ht="28" customHeight="1">
      <c r="A78" s="21" t="n"/>
      <c r="B78" s="21" t="n"/>
      <c r="C78" s="21" t="n"/>
      <c r="D78" s="25" t="str">
        <f>IF(C78="","",IFERROR(VLOOKUP(C78,'Personnes'!$A$8:$Z$47,3,FALSE),""))</f>
        <v/>
      </c>
      <c r="E78" s="25" t="str">
        <f>IF(COUNTA(A78:C78,F78:R78)=0,"",IF(OR(A78="",B78="",C78="",COUNTIF(Projets,A78)&lt;&gt;1,COUNTIF(Personnes,C78)&lt;&gt;1),"Identité à corriger",IF(Calculs!T78&gt;0,"Charge à corriger",IF(Calculs!U78&gt;0,"Hors période", "OK"))))</f>
        <v/>
      </c>
      <c r="F78" s="22" t="n"/>
      <c r="G78" s="22" t="n"/>
      <c r="H78" s="22" t="n"/>
      <c r="I78" s="22" t="n"/>
      <c r="J78" s="22" t="n"/>
      <c r="K78" s="22" t="n"/>
      <c r="L78" s="22" t="n"/>
      <c r="M78" s="22" t="n"/>
      <c r="N78" s="22" t="n"/>
      <c r="O78" s="22" t="n"/>
      <c r="P78" s="22" t="n"/>
      <c r="Q78" s="22" t="n"/>
      <c r="R78" s="22" t="n"/>
      <c r="S78" s="21" t="n"/>
    </row>
    <row r="79" ht="28" customHeight="1">
      <c r="A79" s="21" t="n"/>
      <c r="B79" s="21" t="n"/>
      <c r="C79" s="21" t="n"/>
      <c r="D79" s="27" t="str">
        <f>IF(C79="","",IFERROR(VLOOKUP(C79,'Personnes'!$A$8:$Z$47,3,FALSE),""))</f>
        <v/>
      </c>
      <c r="E79" s="27" t="str">
        <f>IF(COUNTA(A79:C79,F79:R79)=0,"",IF(OR(A79="",B79="",C79="",COUNTIF(Projets,A79)&lt;&gt;1,COUNTIF(Personnes,C79)&lt;&gt;1),"Identité à corriger",IF(Calculs!T79&gt;0,"Charge à corriger",IF(Calculs!U79&gt;0,"Hors période", "OK"))))</f>
        <v/>
      </c>
      <c r="F79" s="22" t="n"/>
      <c r="G79" s="22" t="n"/>
      <c r="H79" s="22" t="n"/>
      <c r="I79" s="22" t="n"/>
      <c r="J79" s="22" t="n"/>
      <c r="K79" s="22" t="n"/>
      <c r="L79" s="22" t="n"/>
      <c r="M79" s="22" t="n"/>
      <c r="N79" s="22" t="n"/>
      <c r="O79" s="22" t="n"/>
      <c r="P79" s="22" t="n"/>
      <c r="Q79" s="22" t="n"/>
      <c r="R79" s="22" t="n"/>
      <c r="S79" s="21" t="n"/>
    </row>
    <row r="80" ht="28" customHeight="1">
      <c r="A80" s="21" t="n"/>
      <c r="B80" s="21" t="n"/>
      <c r="C80" s="21" t="n"/>
      <c r="D80" s="25" t="str">
        <f>IF(C80="","",IFERROR(VLOOKUP(C80,'Personnes'!$A$8:$Z$47,3,FALSE),""))</f>
        <v/>
      </c>
      <c r="E80" s="25" t="str">
        <f>IF(COUNTA(A80:C80,F80:R80)=0,"",IF(OR(A80="",B80="",C80="",COUNTIF(Projets,A80)&lt;&gt;1,COUNTIF(Personnes,C80)&lt;&gt;1),"Identité à corriger",IF(Calculs!T80&gt;0,"Charge à corriger",IF(Calculs!U80&gt;0,"Hors période", "OK"))))</f>
        <v/>
      </c>
      <c r="F80" s="22" t="n"/>
      <c r="G80" s="22" t="n"/>
      <c r="H80" s="22" t="n"/>
      <c r="I80" s="22" t="n"/>
      <c r="J80" s="22" t="n"/>
      <c r="K80" s="22" t="n"/>
      <c r="L80" s="22" t="n"/>
      <c r="M80" s="22" t="n"/>
      <c r="N80" s="22" t="n"/>
      <c r="O80" s="22" t="n"/>
      <c r="P80" s="22" t="n"/>
      <c r="Q80" s="22" t="n"/>
      <c r="R80" s="22" t="n"/>
      <c r="S80" s="21" t="n"/>
    </row>
    <row r="81" ht="28" customHeight="1">
      <c r="A81" s="21" t="n"/>
      <c r="B81" s="21" t="n"/>
      <c r="C81" s="21" t="n"/>
      <c r="D81" s="27" t="str">
        <f>IF(C81="","",IFERROR(VLOOKUP(C81,'Personnes'!$A$8:$Z$47,3,FALSE),""))</f>
        <v/>
      </c>
      <c r="E81" s="27" t="str">
        <f>IF(COUNTA(A81:C81,F81:R81)=0,"",IF(OR(A81="",B81="",C81="",COUNTIF(Projets,A81)&lt;&gt;1,COUNTIF(Personnes,C81)&lt;&gt;1),"Identité à corriger",IF(Calculs!T81&gt;0,"Charge à corriger",IF(Calculs!U81&gt;0,"Hors période", "OK"))))</f>
        <v/>
      </c>
      <c r="F81" s="22" t="n"/>
      <c r="G81" s="22" t="n"/>
      <c r="H81" s="22" t="n"/>
      <c r="I81" s="22" t="n"/>
      <c r="J81" s="22" t="n"/>
      <c r="K81" s="22" t="n"/>
      <c r="L81" s="22" t="n"/>
      <c r="M81" s="22" t="n"/>
      <c r="N81" s="22" t="n"/>
      <c r="O81" s="22" t="n"/>
      <c r="P81" s="22" t="n"/>
      <c r="Q81" s="22" t="n"/>
      <c r="R81" s="22" t="n"/>
      <c r="S81" s="21" t="n"/>
    </row>
    <row r="82" ht="28" customHeight="1">
      <c r="A82" s="21" t="n"/>
      <c r="B82" s="21" t="n"/>
      <c r="C82" s="21" t="n"/>
      <c r="D82" s="25" t="str">
        <f>IF(C82="","",IFERROR(VLOOKUP(C82,'Personnes'!$A$8:$Z$47,3,FALSE),""))</f>
        <v/>
      </c>
      <c r="E82" s="25" t="str">
        <f>IF(COUNTA(A82:C82,F82:R82)=0,"",IF(OR(A82="",B82="",C82="",COUNTIF(Projets,A82)&lt;&gt;1,COUNTIF(Personnes,C82)&lt;&gt;1),"Identité à corriger",IF(Calculs!T82&gt;0,"Charge à corriger",IF(Calculs!U82&gt;0,"Hors période", "OK"))))</f>
        <v/>
      </c>
      <c r="F82" s="22" t="n"/>
      <c r="G82" s="22" t="n"/>
      <c r="H82" s="22" t="n"/>
      <c r="I82" s="22" t="n"/>
      <c r="J82" s="22" t="n"/>
      <c r="K82" s="22" t="n"/>
      <c r="L82" s="22" t="n"/>
      <c r="M82" s="22" t="n"/>
      <c r="N82" s="22" t="n"/>
      <c r="O82" s="22" t="n"/>
      <c r="P82" s="22" t="n"/>
      <c r="Q82" s="22" t="n"/>
      <c r="R82" s="22" t="n"/>
      <c r="S82" s="21" t="n"/>
    </row>
    <row r="83" ht="28" customHeight="1">
      <c r="A83" s="21" t="n"/>
      <c r="B83" s="21" t="n"/>
      <c r="C83" s="21" t="n"/>
      <c r="D83" s="27" t="str">
        <f>IF(C83="","",IFERROR(VLOOKUP(C83,'Personnes'!$A$8:$Z$47,3,FALSE),""))</f>
        <v/>
      </c>
      <c r="E83" s="27" t="str">
        <f>IF(COUNTA(A83:C83,F83:R83)=0,"",IF(OR(A83="",B83="",C83="",COUNTIF(Projets,A83)&lt;&gt;1,COUNTIF(Personnes,C83)&lt;&gt;1),"Identité à corriger",IF(Calculs!T83&gt;0,"Charge à corriger",IF(Calculs!U83&gt;0,"Hors période", "OK"))))</f>
        <v/>
      </c>
      <c r="F83" s="22" t="n"/>
      <c r="G83" s="22" t="n"/>
      <c r="H83" s="22" t="n"/>
      <c r="I83" s="22" t="n"/>
      <c r="J83" s="22" t="n"/>
      <c r="K83" s="22" t="n"/>
      <c r="L83" s="22" t="n"/>
      <c r="M83" s="22" t="n"/>
      <c r="N83" s="22" t="n"/>
      <c r="O83" s="22" t="n"/>
      <c r="P83" s="22" t="n"/>
      <c r="Q83" s="22" t="n"/>
      <c r="R83" s="22" t="n"/>
      <c r="S83" s="21" t="n"/>
    </row>
    <row r="84" ht="28" customHeight="1">
      <c r="A84" s="21" t="n"/>
      <c r="B84" s="21" t="n"/>
      <c r="C84" s="21" t="n"/>
      <c r="D84" s="25" t="str">
        <f>IF(C84="","",IFERROR(VLOOKUP(C84,'Personnes'!$A$8:$Z$47,3,FALSE),""))</f>
        <v/>
      </c>
      <c r="E84" s="25" t="str">
        <f>IF(COUNTA(A84:C84,F84:R84)=0,"",IF(OR(A84="",B84="",C84="",COUNTIF(Projets,A84)&lt;&gt;1,COUNTIF(Personnes,C84)&lt;&gt;1),"Identité à corriger",IF(Calculs!T84&gt;0,"Charge à corriger",IF(Calculs!U84&gt;0,"Hors période", "OK"))))</f>
        <v/>
      </c>
      <c r="F84" s="22" t="n"/>
      <c r="G84" s="22" t="n"/>
      <c r="H84" s="22" t="n"/>
      <c r="I84" s="22" t="n"/>
      <c r="J84" s="22" t="n"/>
      <c r="K84" s="22" t="n"/>
      <c r="L84" s="22" t="n"/>
      <c r="M84" s="22" t="n"/>
      <c r="N84" s="22" t="n"/>
      <c r="O84" s="22" t="n"/>
      <c r="P84" s="22" t="n"/>
      <c r="Q84" s="22" t="n"/>
      <c r="R84" s="22" t="n"/>
      <c r="S84" s="21" t="n"/>
    </row>
    <row r="85" ht="28" customHeight="1">
      <c r="A85" s="21" t="n"/>
      <c r="B85" s="21" t="n"/>
      <c r="C85" s="21" t="n"/>
      <c r="D85" s="27" t="str">
        <f>IF(C85="","",IFERROR(VLOOKUP(C85,'Personnes'!$A$8:$Z$47,3,FALSE),""))</f>
        <v/>
      </c>
      <c r="E85" s="27" t="str">
        <f>IF(COUNTA(A85:C85,F85:R85)=0,"",IF(OR(A85="",B85="",C85="",COUNTIF(Projets,A85)&lt;&gt;1,COUNTIF(Personnes,C85)&lt;&gt;1),"Identité à corriger",IF(Calculs!T85&gt;0,"Charge à corriger",IF(Calculs!U85&gt;0,"Hors période", "OK"))))</f>
        <v/>
      </c>
      <c r="F85" s="22" t="n"/>
      <c r="G85" s="22" t="n"/>
      <c r="H85" s="22" t="n"/>
      <c r="I85" s="22" t="n"/>
      <c r="J85" s="22" t="n"/>
      <c r="K85" s="22" t="n"/>
      <c r="L85" s="22" t="n"/>
      <c r="M85" s="22" t="n"/>
      <c r="N85" s="22" t="n"/>
      <c r="O85" s="22" t="n"/>
      <c r="P85" s="22" t="n"/>
      <c r="Q85" s="22" t="n"/>
      <c r="R85" s="22" t="n"/>
      <c r="S85" s="21" t="n"/>
    </row>
    <row r="86" ht="28" customHeight="1">
      <c r="A86" s="21" t="n"/>
      <c r="B86" s="21" t="n"/>
      <c r="C86" s="21" t="n"/>
      <c r="D86" s="25" t="str">
        <f>IF(C86="","",IFERROR(VLOOKUP(C86,'Personnes'!$A$8:$Z$47,3,FALSE),""))</f>
        <v/>
      </c>
      <c r="E86" s="25" t="str">
        <f>IF(COUNTA(A86:C86,F86:R86)=0,"",IF(OR(A86="",B86="",C86="",COUNTIF(Projets,A86)&lt;&gt;1,COUNTIF(Personnes,C86)&lt;&gt;1),"Identité à corriger",IF(Calculs!T86&gt;0,"Charge à corriger",IF(Calculs!U86&gt;0,"Hors période", "OK"))))</f>
        <v/>
      </c>
      <c r="F86" s="22" t="n"/>
      <c r="G86" s="22" t="n"/>
      <c r="H86" s="22" t="n"/>
      <c r="I86" s="22" t="n"/>
      <c r="J86" s="22" t="n"/>
      <c r="K86" s="22" t="n"/>
      <c r="L86" s="22" t="n"/>
      <c r="M86" s="22" t="n"/>
      <c r="N86" s="22" t="n"/>
      <c r="O86" s="22" t="n"/>
      <c r="P86" s="22" t="n"/>
      <c r="Q86" s="22" t="n"/>
      <c r="R86" s="22" t="n"/>
      <c r="S86" s="21" t="n"/>
    </row>
    <row r="87" ht="28" customHeight="1">
      <c r="A87" s="21" t="n"/>
      <c r="B87" s="21" t="n"/>
      <c r="C87" s="21" t="n"/>
      <c r="D87" s="27" t="str">
        <f>IF(C87="","",IFERROR(VLOOKUP(C87,'Personnes'!$A$8:$Z$47,3,FALSE),""))</f>
        <v/>
      </c>
      <c r="E87" s="27" t="str">
        <f>IF(COUNTA(A87:C87,F87:R87)=0,"",IF(OR(A87="",B87="",C87="",COUNTIF(Projets,A87)&lt;&gt;1,COUNTIF(Personnes,C87)&lt;&gt;1),"Identité à corriger",IF(Calculs!T87&gt;0,"Charge à corriger",IF(Calculs!U87&gt;0,"Hors période", "OK"))))</f>
        <v/>
      </c>
      <c r="F87" s="22" t="n"/>
      <c r="G87" s="22" t="n"/>
      <c r="H87" s="22" t="n"/>
      <c r="I87" s="22" t="n"/>
      <c r="J87" s="22" t="n"/>
      <c r="K87" s="22" t="n"/>
      <c r="L87" s="22" t="n"/>
      <c r="M87" s="22" t="n"/>
      <c r="N87" s="22" t="n"/>
      <c r="O87" s="22" t="n"/>
      <c r="P87" s="22" t="n"/>
      <c r="Q87" s="22" t="n"/>
      <c r="R87" s="22" t="n"/>
      <c r="S87" s="21" t="n"/>
    </row>
    <row r="88" ht="28" customHeight="1">
      <c r="A88" s="21" t="n"/>
      <c r="B88" s="21" t="n"/>
      <c r="C88" s="21" t="n"/>
      <c r="D88" s="25" t="str">
        <f>IF(C88="","",IFERROR(VLOOKUP(C88,'Personnes'!$A$8:$Z$47,3,FALSE),""))</f>
        <v/>
      </c>
      <c r="E88" s="25" t="str">
        <f>IF(COUNTA(A88:C88,F88:R88)=0,"",IF(OR(A88="",B88="",C88="",COUNTIF(Projets,A88)&lt;&gt;1,COUNTIF(Personnes,C88)&lt;&gt;1),"Identité à corriger",IF(Calculs!T88&gt;0,"Charge à corriger",IF(Calculs!U88&gt;0,"Hors période", "OK"))))</f>
        <v/>
      </c>
      <c r="F88" s="22" t="n"/>
      <c r="G88" s="22" t="n"/>
      <c r="H88" s="22" t="n"/>
      <c r="I88" s="22" t="n"/>
      <c r="J88" s="22" t="n"/>
      <c r="K88" s="22" t="n"/>
      <c r="L88" s="22" t="n"/>
      <c r="M88" s="22" t="n"/>
      <c r="N88" s="22" t="n"/>
      <c r="O88" s="22" t="n"/>
      <c r="P88" s="22" t="n"/>
      <c r="Q88" s="22" t="n"/>
      <c r="R88" s="22" t="n"/>
      <c r="S88" s="21" t="n"/>
    </row>
    <row r="89" ht="28" customHeight="1">
      <c r="A89" s="21" t="n"/>
      <c r="B89" s="21" t="n"/>
      <c r="C89" s="21" t="n"/>
      <c r="D89" s="27" t="str">
        <f>IF(C89="","",IFERROR(VLOOKUP(C89,'Personnes'!$A$8:$Z$47,3,FALSE),""))</f>
        <v/>
      </c>
      <c r="E89" s="27" t="str">
        <f>IF(COUNTA(A89:C89,F89:R89)=0,"",IF(OR(A89="",B89="",C89="",COUNTIF(Projets,A89)&lt;&gt;1,COUNTIF(Personnes,C89)&lt;&gt;1),"Identité à corriger",IF(Calculs!T89&gt;0,"Charge à corriger",IF(Calculs!U89&gt;0,"Hors période", "OK"))))</f>
        <v/>
      </c>
      <c r="F89" s="22" t="n"/>
      <c r="G89" s="22" t="n"/>
      <c r="H89" s="22" t="n"/>
      <c r="I89" s="22" t="n"/>
      <c r="J89" s="22" t="n"/>
      <c r="K89" s="22" t="n"/>
      <c r="L89" s="22" t="n"/>
      <c r="M89" s="22" t="n"/>
      <c r="N89" s="22" t="n"/>
      <c r="O89" s="22" t="n"/>
      <c r="P89" s="22" t="n"/>
      <c r="Q89" s="22" t="n"/>
      <c r="R89" s="22" t="n"/>
      <c r="S89" s="21" t="n"/>
    </row>
    <row r="90" ht="28" customHeight="1">
      <c r="A90" s="21" t="n"/>
      <c r="B90" s="21" t="n"/>
      <c r="C90" s="21" t="n"/>
      <c r="D90" s="25" t="str">
        <f>IF(C90="","",IFERROR(VLOOKUP(C90,'Personnes'!$A$8:$Z$47,3,FALSE),""))</f>
        <v/>
      </c>
      <c r="E90" s="25" t="str">
        <f>IF(COUNTA(A90:C90,F90:R90)=0,"",IF(OR(A90="",B90="",C90="",COUNTIF(Projets,A90)&lt;&gt;1,COUNTIF(Personnes,C90)&lt;&gt;1),"Identité à corriger",IF(Calculs!T90&gt;0,"Charge à corriger",IF(Calculs!U90&gt;0,"Hors période", "OK"))))</f>
        <v/>
      </c>
      <c r="F90" s="22" t="n"/>
      <c r="G90" s="22" t="n"/>
      <c r="H90" s="22" t="n"/>
      <c r="I90" s="22" t="n"/>
      <c r="J90" s="22" t="n"/>
      <c r="K90" s="22" t="n"/>
      <c r="L90" s="22" t="n"/>
      <c r="M90" s="22" t="n"/>
      <c r="N90" s="22" t="n"/>
      <c r="O90" s="22" t="n"/>
      <c r="P90" s="22" t="n"/>
      <c r="Q90" s="22" t="n"/>
      <c r="R90" s="22" t="n"/>
      <c r="S90" s="21" t="n"/>
    </row>
    <row r="91" ht="28" customHeight="1">
      <c r="A91" s="21" t="n"/>
      <c r="B91" s="21" t="n"/>
      <c r="C91" s="21" t="n"/>
      <c r="D91" s="27" t="str">
        <f>IF(C91="","",IFERROR(VLOOKUP(C91,'Personnes'!$A$8:$Z$47,3,FALSE),""))</f>
        <v/>
      </c>
      <c r="E91" s="27" t="str">
        <f>IF(COUNTA(A91:C91,F91:R91)=0,"",IF(OR(A91="",B91="",C91="",COUNTIF(Projets,A91)&lt;&gt;1,COUNTIF(Personnes,C91)&lt;&gt;1),"Identité à corriger",IF(Calculs!T91&gt;0,"Charge à corriger",IF(Calculs!U91&gt;0,"Hors période", "OK"))))</f>
        <v/>
      </c>
      <c r="F91" s="22" t="n"/>
      <c r="G91" s="22" t="n"/>
      <c r="H91" s="22" t="n"/>
      <c r="I91" s="22" t="n"/>
      <c r="J91" s="22" t="n"/>
      <c r="K91" s="22" t="n"/>
      <c r="L91" s="22" t="n"/>
      <c r="M91" s="22" t="n"/>
      <c r="N91" s="22" t="n"/>
      <c r="O91" s="22" t="n"/>
      <c r="P91" s="22" t="n"/>
      <c r="Q91" s="22" t="n"/>
      <c r="R91" s="22" t="n"/>
      <c r="S91" s="21" t="n"/>
    </row>
    <row r="92" ht="28" customHeight="1">
      <c r="A92" s="21" t="n"/>
      <c r="B92" s="21" t="n"/>
      <c r="C92" s="21" t="n"/>
      <c r="D92" s="25" t="str">
        <f>IF(C92="","",IFERROR(VLOOKUP(C92,'Personnes'!$A$8:$Z$47,3,FALSE),""))</f>
        <v/>
      </c>
      <c r="E92" s="25" t="str">
        <f>IF(COUNTA(A92:C92,F92:R92)=0,"",IF(OR(A92="",B92="",C92="",COUNTIF(Projets,A92)&lt;&gt;1,COUNTIF(Personnes,C92)&lt;&gt;1),"Identité à corriger",IF(Calculs!T92&gt;0,"Charge à corriger",IF(Calculs!U92&gt;0,"Hors période", "OK"))))</f>
        <v/>
      </c>
      <c r="F92" s="22" t="n"/>
      <c r="G92" s="22" t="n"/>
      <c r="H92" s="22" t="n"/>
      <c r="I92" s="22" t="n"/>
      <c r="J92" s="22" t="n"/>
      <c r="K92" s="22" t="n"/>
      <c r="L92" s="22" t="n"/>
      <c r="M92" s="22" t="n"/>
      <c r="N92" s="22" t="n"/>
      <c r="O92" s="22" t="n"/>
      <c r="P92" s="22" t="n"/>
      <c r="Q92" s="22" t="n"/>
      <c r="R92" s="22" t="n"/>
      <c r="S92" s="21" t="n"/>
    </row>
    <row r="93" ht="28" customHeight="1">
      <c r="A93" s="21" t="n"/>
      <c r="B93" s="21" t="n"/>
      <c r="C93" s="21" t="n"/>
      <c r="D93" s="27" t="str">
        <f>IF(C93="","",IFERROR(VLOOKUP(C93,'Personnes'!$A$8:$Z$47,3,FALSE),""))</f>
        <v/>
      </c>
      <c r="E93" s="27" t="str">
        <f>IF(COUNTA(A93:C93,F93:R93)=0,"",IF(OR(A93="",B93="",C93="",COUNTIF(Projets,A93)&lt;&gt;1,COUNTIF(Personnes,C93)&lt;&gt;1),"Identité à corriger",IF(Calculs!T93&gt;0,"Charge à corriger",IF(Calculs!U93&gt;0,"Hors période", "OK"))))</f>
        <v/>
      </c>
      <c r="F93" s="22" t="n"/>
      <c r="G93" s="22" t="n"/>
      <c r="H93" s="22" t="n"/>
      <c r="I93" s="22" t="n"/>
      <c r="J93" s="22" t="n"/>
      <c r="K93" s="22" t="n"/>
      <c r="L93" s="22" t="n"/>
      <c r="M93" s="22" t="n"/>
      <c r="N93" s="22" t="n"/>
      <c r="O93" s="22" t="n"/>
      <c r="P93" s="22" t="n"/>
      <c r="Q93" s="22" t="n"/>
      <c r="R93" s="22" t="n"/>
      <c r="S93" s="21" t="n"/>
    </row>
    <row r="94" ht="28" customHeight="1">
      <c r="A94" s="21" t="n"/>
      <c r="B94" s="21" t="n"/>
      <c r="C94" s="21" t="n"/>
      <c r="D94" s="25" t="str">
        <f>IF(C94="","",IFERROR(VLOOKUP(C94,'Personnes'!$A$8:$Z$47,3,FALSE),""))</f>
        <v/>
      </c>
      <c r="E94" s="25" t="str">
        <f>IF(COUNTA(A94:C94,F94:R94)=0,"",IF(OR(A94="",B94="",C94="",COUNTIF(Projets,A94)&lt;&gt;1,COUNTIF(Personnes,C94)&lt;&gt;1),"Identité à corriger",IF(Calculs!T94&gt;0,"Charge à corriger",IF(Calculs!U94&gt;0,"Hors période", "OK"))))</f>
        <v/>
      </c>
      <c r="F94" s="22" t="n"/>
      <c r="G94" s="22" t="n"/>
      <c r="H94" s="22" t="n"/>
      <c r="I94" s="22" t="n"/>
      <c r="J94" s="22" t="n"/>
      <c r="K94" s="22" t="n"/>
      <c r="L94" s="22" t="n"/>
      <c r="M94" s="22" t="n"/>
      <c r="N94" s="22" t="n"/>
      <c r="O94" s="22" t="n"/>
      <c r="P94" s="22" t="n"/>
      <c r="Q94" s="22" t="n"/>
      <c r="R94" s="22" t="n"/>
      <c r="S94" s="21" t="n"/>
    </row>
    <row r="95" ht="28" customHeight="1">
      <c r="A95" s="21" t="n"/>
      <c r="B95" s="21" t="n"/>
      <c r="C95" s="21" t="n"/>
      <c r="D95" s="27" t="str">
        <f>IF(C95="","",IFERROR(VLOOKUP(C95,'Personnes'!$A$8:$Z$47,3,FALSE),""))</f>
        <v/>
      </c>
      <c r="E95" s="27" t="str">
        <f>IF(COUNTA(A95:C95,F95:R95)=0,"",IF(OR(A95="",B95="",C95="",COUNTIF(Projets,A95)&lt;&gt;1,COUNTIF(Personnes,C95)&lt;&gt;1),"Identité à corriger",IF(Calculs!T95&gt;0,"Charge à corriger",IF(Calculs!U95&gt;0,"Hors période", "OK"))))</f>
        <v/>
      </c>
      <c r="F95" s="22" t="n"/>
      <c r="G95" s="22" t="n"/>
      <c r="H95" s="22" t="n"/>
      <c r="I95" s="22" t="n"/>
      <c r="J95" s="22" t="n"/>
      <c r="K95" s="22" t="n"/>
      <c r="L95" s="22" t="n"/>
      <c r="M95" s="22" t="n"/>
      <c r="N95" s="22" t="n"/>
      <c r="O95" s="22" t="n"/>
      <c r="P95" s="22" t="n"/>
      <c r="Q95" s="22" t="n"/>
      <c r="R95" s="22" t="n"/>
      <c r="S95" s="21" t="n"/>
    </row>
    <row r="96" ht="28" customHeight="1">
      <c r="A96" s="21" t="n"/>
      <c r="B96" s="21" t="n"/>
      <c r="C96" s="21" t="n"/>
      <c r="D96" s="25" t="str">
        <f>IF(C96="","",IFERROR(VLOOKUP(C96,'Personnes'!$A$8:$Z$47,3,FALSE),""))</f>
        <v/>
      </c>
      <c r="E96" s="25" t="str">
        <f>IF(COUNTA(A96:C96,F96:R96)=0,"",IF(OR(A96="",B96="",C96="",COUNTIF(Projets,A96)&lt;&gt;1,COUNTIF(Personnes,C96)&lt;&gt;1),"Identité à corriger",IF(Calculs!T96&gt;0,"Charge à corriger",IF(Calculs!U96&gt;0,"Hors période", "OK"))))</f>
        <v/>
      </c>
      <c r="F96" s="22" t="n"/>
      <c r="G96" s="22" t="n"/>
      <c r="H96" s="22" t="n"/>
      <c r="I96" s="22" t="n"/>
      <c r="J96" s="22" t="n"/>
      <c r="K96" s="22" t="n"/>
      <c r="L96" s="22" t="n"/>
      <c r="M96" s="22" t="n"/>
      <c r="N96" s="22" t="n"/>
      <c r="O96" s="22" t="n"/>
      <c r="P96" s="22" t="n"/>
      <c r="Q96" s="22" t="n"/>
      <c r="R96" s="22" t="n"/>
      <c r="S96" s="21" t="n"/>
    </row>
    <row r="97" ht="28" customHeight="1">
      <c r="A97" s="21" t="n"/>
      <c r="B97" s="21" t="n"/>
      <c r="C97" s="21" t="n"/>
      <c r="D97" s="27" t="str">
        <f>IF(C97="","",IFERROR(VLOOKUP(C97,'Personnes'!$A$8:$Z$47,3,FALSE),""))</f>
        <v/>
      </c>
      <c r="E97" s="27" t="str">
        <f>IF(COUNTA(A97:C97,F97:R97)=0,"",IF(OR(A97="",B97="",C97="",COUNTIF(Projets,A97)&lt;&gt;1,COUNTIF(Personnes,C97)&lt;&gt;1),"Identité à corriger",IF(Calculs!T97&gt;0,"Charge à corriger",IF(Calculs!U97&gt;0,"Hors période", "OK"))))</f>
        <v/>
      </c>
      <c r="F97" s="22" t="n"/>
      <c r="G97" s="22" t="n"/>
      <c r="H97" s="22" t="n"/>
      <c r="I97" s="22" t="n"/>
      <c r="J97" s="22" t="n"/>
      <c r="K97" s="22" t="n"/>
      <c r="L97" s="22" t="n"/>
      <c r="M97" s="22" t="n"/>
      <c r="N97" s="22" t="n"/>
      <c r="O97" s="22" t="n"/>
      <c r="P97" s="22" t="n"/>
      <c r="Q97" s="22" t="n"/>
      <c r="R97" s="22" t="n"/>
      <c r="S97" s="21" t="n"/>
    </row>
    <row r="98" ht="28" customHeight="1">
      <c r="A98" s="21" t="n"/>
      <c r="B98" s="21" t="n"/>
      <c r="C98" s="21" t="n"/>
      <c r="D98" s="25" t="str">
        <f>IF(C98="","",IFERROR(VLOOKUP(C98,'Personnes'!$A$8:$Z$47,3,FALSE),""))</f>
        <v/>
      </c>
      <c r="E98" s="25" t="str">
        <f>IF(COUNTA(A98:C98,F98:R98)=0,"",IF(OR(A98="",B98="",C98="",COUNTIF(Projets,A98)&lt;&gt;1,COUNTIF(Personnes,C98)&lt;&gt;1),"Identité à corriger",IF(Calculs!T98&gt;0,"Charge à corriger",IF(Calculs!U98&gt;0,"Hors période", "OK"))))</f>
        <v/>
      </c>
      <c r="F98" s="22" t="n"/>
      <c r="G98" s="22" t="n"/>
      <c r="H98" s="22" t="n"/>
      <c r="I98" s="22" t="n"/>
      <c r="J98" s="22" t="n"/>
      <c r="K98" s="22" t="n"/>
      <c r="L98" s="22" t="n"/>
      <c r="M98" s="22" t="n"/>
      <c r="N98" s="22" t="n"/>
      <c r="O98" s="22" t="n"/>
      <c r="P98" s="22" t="n"/>
      <c r="Q98" s="22" t="n"/>
      <c r="R98" s="22" t="n"/>
      <c r="S98" s="21" t="n"/>
    </row>
    <row r="99" ht="28" customHeight="1">
      <c r="A99" s="21" t="n"/>
      <c r="B99" s="21" t="n"/>
      <c r="C99" s="21" t="n"/>
      <c r="D99" s="27" t="str">
        <f>IF(C99="","",IFERROR(VLOOKUP(C99,'Personnes'!$A$8:$Z$47,3,FALSE),""))</f>
        <v/>
      </c>
      <c r="E99" s="27" t="str">
        <f>IF(COUNTA(A99:C99,F99:R99)=0,"",IF(OR(A99="",B99="",C99="",COUNTIF(Projets,A99)&lt;&gt;1,COUNTIF(Personnes,C99)&lt;&gt;1),"Identité à corriger",IF(Calculs!T99&gt;0,"Charge à corriger",IF(Calculs!U99&gt;0,"Hors période", "OK"))))</f>
        <v/>
      </c>
      <c r="F99" s="22" t="n"/>
      <c r="G99" s="22" t="n"/>
      <c r="H99" s="22" t="n"/>
      <c r="I99" s="22" t="n"/>
      <c r="J99" s="22" t="n"/>
      <c r="K99" s="22" t="n"/>
      <c r="L99" s="22" t="n"/>
      <c r="M99" s="22" t="n"/>
      <c r="N99" s="22" t="n"/>
      <c r="O99" s="22" t="n"/>
      <c r="P99" s="22" t="n"/>
      <c r="Q99" s="22" t="n"/>
      <c r="R99" s="22" t="n"/>
      <c r="S99" s="21" t="n"/>
    </row>
    <row r="100" ht="28" customHeight="1">
      <c r="A100" s="21" t="n"/>
      <c r="B100" s="21" t="n"/>
      <c r="C100" s="21" t="n"/>
      <c r="D100" s="25" t="str">
        <f>IF(C100="","",IFERROR(VLOOKUP(C100,'Personnes'!$A$8:$Z$47,3,FALSE),""))</f>
        <v/>
      </c>
      <c r="E100" s="25" t="str">
        <f>IF(COUNTA(A100:C100,F100:R100)=0,"",IF(OR(A100="",B100="",C100="",COUNTIF(Projets,A100)&lt;&gt;1,COUNTIF(Personnes,C100)&lt;&gt;1),"Identité à corriger",IF(Calculs!T100&gt;0,"Charge à corriger",IF(Calculs!U100&gt;0,"Hors période", "OK"))))</f>
        <v/>
      </c>
      <c r="F100" s="22" t="n"/>
      <c r="G100" s="22" t="n"/>
      <c r="H100" s="22" t="n"/>
      <c r="I100" s="22" t="n"/>
      <c r="J100" s="22" t="n"/>
      <c r="K100" s="22" t="n"/>
      <c r="L100" s="22" t="n"/>
      <c r="M100" s="22" t="n"/>
      <c r="N100" s="22" t="n"/>
      <c r="O100" s="22" t="n"/>
      <c r="P100" s="22" t="n"/>
      <c r="Q100" s="22" t="n"/>
      <c r="R100" s="22" t="n"/>
      <c r="S100" s="21" t="n"/>
    </row>
    <row r="101" ht="28" customHeight="1">
      <c r="A101" s="21" t="n"/>
      <c r="B101" s="21" t="n"/>
      <c r="C101" s="21" t="n"/>
      <c r="D101" s="27" t="str">
        <f>IF(C101="","",IFERROR(VLOOKUP(C101,'Personnes'!$A$8:$Z$47,3,FALSE),""))</f>
        <v/>
      </c>
      <c r="E101" s="27" t="str">
        <f>IF(COUNTA(A101:C101,F101:R101)=0,"",IF(OR(A101="",B101="",C101="",COUNTIF(Projets,A101)&lt;&gt;1,COUNTIF(Personnes,C101)&lt;&gt;1),"Identité à corriger",IF(Calculs!T101&gt;0,"Charge à corriger",IF(Calculs!U101&gt;0,"Hors période", "OK"))))</f>
        <v/>
      </c>
      <c r="F101" s="22" t="n"/>
      <c r="G101" s="22" t="n"/>
      <c r="H101" s="22" t="n"/>
      <c r="I101" s="22" t="n"/>
      <c r="J101" s="22" t="n"/>
      <c r="K101" s="22" t="n"/>
      <c r="L101" s="22" t="n"/>
      <c r="M101" s="22" t="n"/>
      <c r="N101" s="22" t="n"/>
      <c r="O101" s="22" t="n"/>
      <c r="P101" s="22" t="n"/>
      <c r="Q101" s="22" t="n"/>
      <c r="R101" s="22" t="n"/>
      <c r="S101" s="21" t="n"/>
    </row>
    <row r="102" ht="28" customHeight="1">
      <c r="A102" s="21" t="n"/>
      <c r="B102" s="21" t="n"/>
      <c r="C102" s="21" t="n"/>
      <c r="D102" s="25" t="str">
        <f>IF(C102="","",IFERROR(VLOOKUP(C102,'Personnes'!$A$8:$Z$47,3,FALSE),""))</f>
        <v/>
      </c>
      <c r="E102" s="25" t="str">
        <f>IF(COUNTA(A102:C102,F102:R102)=0,"",IF(OR(A102="",B102="",C102="",COUNTIF(Projets,A102)&lt;&gt;1,COUNTIF(Personnes,C102)&lt;&gt;1),"Identité à corriger",IF(Calculs!T102&gt;0,"Charge à corriger",IF(Calculs!U102&gt;0,"Hors période", "OK"))))</f>
        <v/>
      </c>
      <c r="F102" s="22" t="n"/>
      <c r="G102" s="22" t="n"/>
      <c r="H102" s="22" t="n"/>
      <c r="I102" s="22" t="n"/>
      <c r="J102" s="22" t="n"/>
      <c r="K102" s="22" t="n"/>
      <c r="L102" s="22" t="n"/>
      <c r="M102" s="22" t="n"/>
      <c r="N102" s="22" t="n"/>
      <c r="O102" s="22" t="n"/>
      <c r="P102" s="22" t="n"/>
      <c r="Q102" s="22" t="n"/>
      <c r="R102" s="22" t="n"/>
      <c r="S102" s="21" t="n"/>
    </row>
    <row r="103" ht="28" customHeight="1">
      <c r="A103" s="21" t="n"/>
      <c r="B103" s="21" t="n"/>
      <c r="C103" s="21" t="n"/>
      <c r="D103" s="27" t="str">
        <f>IF(C103="","",IFERROR(VLOOKUP(C103,'Personnes'!$A$8:$Z$47,3,FALSE),""))</f>
        <v/>
      </c>
      <c r="E103" s="27" t="str">
        <f>IF(COUNTA(A103:C103,F103:R103)=0,"",IF(OR(A103="",B103="",C103="",COUNTIF(Projets,A103)&lt;&gt;1,COUNTIF(Personnes,C103)&lt;&gt;1),"Identité à corriger",IF(Calculs!T103&gt;0,"Charge à corriger",IF(Calculs!U103&gt;0,"Hors période", "OK"))))</f>
        <v/>
      </c>
      <c r="F103" s="22" t="n"/>
      <c r="G103" s="22" t="n"/>
      <c r="H103" s="22" t="n"/>
      <c r="I103" s="22" t="n"/>
      <c r="J103" s="22" t="n"/>
      <c r="K103" s="22" t="n"/>
      <c r="L103" s="22" t="n"/>
      <c r="M103" s="22" t="n"/>
      <c r="N103" s="22" t="n"/>
      <c r="O103" s="22" t="n"/>
      <c r="P103" s="22" t="n"/>
      <c r="Q103" s="22" t="n"/>
      <c r="R103" s="22" t="n"/>
      <c r="S103" s="21" t="n"/>
    </row>
    <row r="104" ht="28" customHeight="1">
      <c r="A104" s="21" t="n"/>
      <c r="B104" s="21" t="n"/>
      <c r="C104" s="21" t="n"/>
      <c r="D104" s="25" t="str">
        <f>IF(C104="","",IFERROR(VLOOKUP(C104,'Personnes'!$A$8:$Z$47,3,FALSE),""))</f>
        <v/>
      </c>
      <c r="E104" s="25" t="str">
        <f>IF(COUNTA(A104:C104,F104:R104)=0,"",IF(OR(A104="",B104="",C104="",COUNTIF(Projets,A104)&lt;&gt;1,COUNTIF(Personnes,C104)&lt;&gt;1),"Identité à corriger",IF(Calculs!T104&gt;0,"Charge à corriger",IF(Calculs!U104&gt;0,"Hors période", "OK"))))</f>
        <v/>
      </c>
      <c r="F104" s="22" t="n"/>
      <c r="G104" s="22" t="n"/>
      <c r="H104" s="22" t="n"/>
      <c r="I104" s="22" t="n"/>
      <c r="J104" s="22" t="n"/>
      <c r="K104" s="22" t="n"/>
      <c r="L104" s="22" t="n"/>
      <c r="M104" s="22" t="n"/>
      <c r="N104" s="22" t="n"/>
      <c r="O104" s="22" t="n"/>
      <c r="P104" s="22" t="n"/>
      <c r="Q104" s="22" t="n"/>
      <c r="R104" s="22" t="n"/>
      <c r="S104" s="21" t="n"/>
    </row>
    <row r="105" ht="28" customHeight="1">
      <c r="A105" s="21" t="n"/>
      <c r="B105" s="21" t="n"/>
      <c r="C105" s="21" t="n"/>
      <c r="D105" s="27" t="str">
        <f>IF(C105="","",IFERROR(VLOOKUP(C105,'Personnes'!$A$8:$Z$47,3,FALSE),""))</f>
        <v/>
      </c>
      <c r="E105" s="27" t="str">
        <f>IF(COUNTA(A105:C105,F105:R105)=0,"",IF(OR(A105="",B105="",C105="",COUNTIF(Projets,A105)&lt;&gt;1,COUNTIF(Personnes,C105)&lt;&gt;1),"Identité à corriger",IF(Calculs!T105&gt;0,"Charge à corriger",IF(Calculs!U105&gt;0,"Hors période", "OK"))))</f>
        <v/>
      </c>
      <c r="F105" s="22" t="n"/>
      <c r="G105" s="22" t="n"/>
      <c r="H105" s="22" t="n"/>
      <c r="I105" s="22" t="n"/>
      <c r="J105" s="22" t="n"/>
      <c r="K105" s="22" t="n"/>
      <c r="L105" s="22" t="n"/>
      <c r="M105" s="22" t="n"/>
      <c r="N105" s="22" t="n"/>
      <c r="O105" s="22" t="n"/>
      <c r="P105" s="22" t="n"/>
      <c r="Q105" s="22" t="n"/>
      <c r="R105" s="22" t="n"/>
      <c r="S105" s="21" t="n"/>
    </row>
    <row r="106" ht="28" customHeight="1">
      <c r="A106" s="21" t="n"/>
      <c r="B106" s="21" t="n"/>
      <c r="C106" s="21" t="n"/>
      <c r="D106" s="25" t="str">
        <f>IF(C106="","",IFERROR(VLOOKUP(C106,'Personnes'!$A$8:$Z$47,3,FALSE),""))</f>
        <v/>
      </c>
      <c r="E106" s="25" t="str">
        <f>IF(COUNTA(A106:C106,F106:R106)=0,"",IF(OR(A106="",B106="",C106="",COUNTIF(Projets,A106)&lt;&gt;1,COUNTIF(Personnes,C106)&lt;&gt;1),"Identité à corriger",IF(Calculs!T106&gt;0,"Charge à corriger",IF(Calculs!U106&gt;0,"Hors période", "OK"))))</f>
        <v/>
      </c>
      <c r="F106" s="22" t="n"/>
      <c r="G106" s="22" t="n"/>
      <c r="H106" s="22" t="n"/>
      <c r="I106" s="22" t="n"/>
      <c r="J106" s="22" t="n"/>
      <c r="K106" s="22" t="n"/>
      <c r="L106" s="22" t="n"/>
      <c r="M106" s="22" t="n"/>
      <c r="N106" s="22" t="n"/>
      <c r="O106" s="22" t="n"/>
      <c r="P106" s="22" t="n"/>
      <c r="Q106" s="22" t="n"/>
      <c r="R106" s="22" t="n"/>
      <c r="S106" s="21" t="n"/>
    </row>
    <row r="107" ht="28" customHeight="1">
      <c r="A107" s="21" t="n"/>
      <c r="B107" s="21" t="n"/>
      <c r="C107" s="21" t="n"/>
      <c r="D107" s="27" t="str">
        <f>IF(C107="","",IFERROR(VLOOKUP(C107,'Personnes'!$A$8:$Z$47,3,FALSE),""))</f>
        <v/>
      </c>
      <c r="E107" s="27" t="str">
        <f>IF(COUNTA(A107:C107,F107:R107)=0,"",IF(OR(A107="",B107="",C107="",COUNTIF(Projets,A107)&lt;&gt;1,COUNTIF(Personnes,C107)&lt;&gt;1),"Identité à corriger",IF(Calculs!T107&gt;0,"Charge à corriger",IF(Calculs!U107&gt;0,"Hors période", "OK"))))</f>
        <v/>
      </c>
      <c r="F107" s="22" t="n"/>
      <c r="G107" s="22" t="n"/>
      <c r="H107" s="22" t="n"/>
      <c r="I107" s="22" t="n"/>
      <c r="J107" s="22" t="n"/>
      <c r="K107" s="22" t="n"/>
      <c r="L107" s="22" t="n"/>
      <c r="M107" s="22" t="n"/>
      <c r="N107" s="22" t="n"/>
      <c r="O107" s="22" t="n"/>
      <c r="P107" s="22" t="n"/>
      <c r="Q107" s="22" t="n"/>
      <c r="R107" s="22" t="n"/>
      <c r="S107" s="21" t="n"/>
    </row>
    <row r="108" ht="28" customHeight="1">
      <c r="A108" s="21" t="n"/>
      <c r="B108" s="21" t="n"/>
      <c r="C108" s="21" t="n"/>
      <c r="D108" s="25" t="str">
        <f>IF(C108="","",IFERROR(VLOOKUP(C108,'Personnes'!$A$8:$Z$47,3,FALSE),""))</f>
        <v/>
      </c>
      <c r="E108" s="25" t="str">
        <f>IF(COUNTA(A108:C108,F108:R108)=0,"",IF(OR(A108="",B108="",C108="",COUNTIF(Projets,A108)&lt;&gt;1,COUNTIF(Personnes,C108)&lt;&gt;1),"Identité à corriger",IF(Calculs!T108&gt;0,"Charge à corriger",IF(Calculs!U108&gt;0,"Hors période", "OK"))))</f>
        <v/>
      </c>
      <c r="F108" s="22" t="n"/>
      <c r="G108" s="22" t="n"/>
      <c r="H108" s="22" t="n"/>
      <c r="I108" s="22" t="n"/>
      <c r="J108" s="22" t="n"/>
      <c r="K108" s="22" t="n"/>
      <c r="L108" s="22" t="n"/>
      <c r="M108" s="22" t="n"/>
      <c r="N108" s="22" t="n"/>
      <c r="O108" s="22" t="n"/>
      <c r="P108" s="22" t="n"/>
      <c r="Q108" s="22" t="n"/>
      <c r="R108" s="22" t="n"/>
      <c r="S108" s="21" t="n"/>
    </row>
    <row r="109" ht="28" customHeight="1">
      <c r="A109" s="21" t="n"/>
      <c r="B109" s="21" t="n"/>
      <c r="C109" s="21" t="n"/>
      <c r="D109" s="27" t="str">
        <f>IF(C109="","",IFERROR(VLOOKUP(C109,'Personnes'!$A$8:$Z$47,3,FALSE),""))</f>
        <v/>
      </c>
      <c r="E109" s="27" t="str">
        <f>IF(COUNTA(A109:C109,F109:R109)=0,"",IF(OR(A109="",B109="",C109="",COUNTIF(Projets,A109)&lt;&gt;1,COUNTIF(Personnes,C109)&lt;&gt;1),"Identité à corriger",IF(Calculs!T109&gt;0,"Charge à corriger",IF(Calculs!U109&gt;0,"Hors période", "OK"))))</f>
        <v/>
      </c>
      <c r="F109" s="22" t="n"/>
      <c r="G109" s="22" t="n"/>
      <c r="H109" s="22" t="n"/>
      <c r="I109" s="22" t="n"/>
      <c r="J109" s="22" t="n"/>
      <c r="K109" s="22" t="n"/>
      <c r="L109" s="22" t="n"/>
      <c r="M109" s="22" t="n"/>
      <c r="N109" s="22" t="n"/>
      <c r="O109" s="22" t="n"/>
      <c r="P109" s="22" t="n"/>
      <c r="Q109" s="22" t="n"/>
      <c r="R109" s="22" t="n"/>
      <c r="S109" s="21" t="n"/>
    </row>
    <row r="110" ht="28" customHeight="1">
      <c r="A110" s="21" t="n"/>
      <c r="B110" s="21" t="n"/>
      <c r="C110" s="21" t="n"/>
      <c r="D110" s="25" t="str">
        <f>IF(C110="","",IFERROR(VLOOKUP(C110,'Personnes'!$A$8:$Z$47,3,FALSE),""))</f>
        <v/>
      </c>
      <c r="E110" s="25" t="str">
        <f>IF(COUNTA(A110:C110,F110:R110)=0,"",IF(OR(A110="",B110="",C110="",COUNTIF(Projets,A110)&lt;&gt;1,COUNTIF(Personnes,C110)&lt;&gt;1),"Identité à corriger",IF(Calculs!T110&gt;0,"Charge à corriger",IF(Calculs!U110&gt;0,"Hors période", "OK"))))</f>
        <v/>
      </c>
      <c r="F110" s="22" t="n"/>
      <c r="G110" s="22" t="n"/>
      <c r="H110" s="22" t="n"/>
      <c r="I110" s="22" t="n"/>
      <c r="J110" s="22" t="n"/>
      <c r="K110" s="22" t="n"/>
      <c r="L110" s="22" t="n"/>
      <c r="M110" s="22" t="n"/>
      <c r="N110" s="22" t="n"/>
      <c r="O110" s="22" t="n"/>
      <c r="P110" s="22" t="n"/>
      <c r="Q110" s="22" t="n"/>
      <c r="R110" s="22" t="n"/>
      <c r="S110" s="21" t="n"/>
    </row>
    <row r="111" ht="28" customHeight="1">
      <c r="A111" s="21" t="n"/>
      <c r="B111" s="21" t="n"/>
      <c r="C111" s="21" t="n"/>
      <c r="D111" s="27" t="str">
        <f>IF(C111="","",IFERROR(VLOOKUP(C111,'Personnes'!$A$8:$Z$47,3,FALSE),""))</f>
        <v/>
      </c>
      <c r="E111" s="27" t="str">
        <f>IF(COUNTA(A111:C111,F111:R111)=0,"",IF(OR(A111="",B111="",C111="",COUNTIF(Projets,A111)&lt;&gt;1,COUNTIF(Personnes,C111)&lt;&gt;1),"Identité à corriger",IF(Calculs!T111&gt;0,"Charge à corriger",IF(Calculs!U111&gt;0,"Hors période", "OK"))))</f>
        <v/>
      </c>
      <c r="F111" s="22" t="n"/>
      <c r="G111" s="22" t="n"/>
      <c r="H111" s="22" t="n"/>
      <c r="I111" s="22" t="n"/>
      <c r="J111" s="22" t="n"/>
      <c r="K111" s="22" t="n"/>
      <c r="L111" s="22" t="n"/>
      <c r="M111" s="22" t="n"/>
      <c r="N111" s="22" t="n"/>
      <c r="O111" s="22" t="n"/>
      <c r="P111" s="22" t="n"/>
      <c r="Q111" s="22" t="n"/>
      <c r="R111" s="22" t="n"/>
      <c r="S111" s="21" t="n"/>
    </row>
    <row r="112" ht="28" customHeight="1">
      <c r="A112" s="21" t="n"/>
      <c r="B112" s="21" t="n"/>
      <c r="C112" s="21" t="n"/>
      <c r="D112" s="25" t="str">
        <f>IF(C112="","",IFERROR(VLOOKUP(C112,'Personnes'!$A$8:$Z$47,3,FALSE),""))</f>
        <v/>
      </c>
      <c r="E112" s="25" t="str">
        <f>IF(COUNTA(A112:C112,F112:R112)=0,"",IF(OR(A112="",B112="",C112="",COUNTIF(Projets,A112)&lt;&gt;1,COUNTIF(Personnes,C112)&lt;&gt;1),"Identité à corriger",IF(Calculs!T112&gt;0,"Charge à corriger",IF(Calculs!U112&gt;0,"Hors période", "OK"))))</f>
        <v/>
      </c>
      <c r="F112" s="22" t="n"/>
      <c r="G112" s="22" t="n"/>
      <c r="H112" s="22" t="n"/>
      <c r="I112" s="22" t="n"/>
      <c r="J112" s="22" t="n"/>
      <c r="K112" s="22" t="n"/>
      <c r="L112" s="22" t="n"/>
      <c r="M112" s="22" t="n"/>
      <c r="N112" s="22" t="n"/>
      <c r="O112" s="22" t="n"/>
      <c r="P112" s="22" t="n"/>
      <c r="Q112" s="22" t="n"/>
      <c r="R112" s="22" t="n"/>
      <c r="S112" s="21" t="n"/>
    </row>
    <row r="113" ht="28" customHeight="1">
      <c r="A113" s="21" t="n"/>
      <c r="B113" s="21" t="n"/>
      <c r="C113" s="21" t="n"/>
      <c r="D113" s="27" t="str">
        <f>IF(C113="","",IFERROR(VLOOKUP(C113,'Personnes'!$A$8:$Z$47,3,FALSE),""))</f>
        <v/>
      </c>
      <c r="E113" s="27" t="str">
        <f>IF(COUNTA(A113:C113,F113:R113)=0,"",IF(OR(A113="",B113="",C113="",COUNTIF(Projets,A113)&lt;&gt;1,COUNTIF(Personnes,C113)&lt;&gt;1),"Identité à corriger",IF(Calculs!T113&gt;0,"Charge à corriger",IF(Calculs!U113&gt;0,"Hors période", "OK"))))</f>
        <v/>
      </c>
      <c r="F113" s="22" t="n"/>
      <c r="G113" s="22" t="n"/>
      <c r="H113" s="22" t="n"/>
      <c r="I113" s="22" t="n"/>
      <c r="J113" s="22" t="n"/>
      <c r="K113" s="22" t="n"/>
      <c r="L113" s="22" t="n"/>
      <c r="M113" s="22" t="n"/>
      <c r="N113" s="22" t="n"/>
      <c r="O113" s="22" t="n"/>
      <c r="P113" s="22" t="n"/>
      <c r="Q113" s="22" t="n"/>
      <c r="R113" s="22" t="n"/>
      <c r="S113" s="21" t="n"/>
    </row>
    <row r="114" ht="28" customHeight="1">
      <c r="A114" s="21" t="n"/>
      <c r="B114" s="21" t="n"/>
      <c r="C114" s="21" t="n"/>
      <c r="D114" s="25" t="str">
        <f>IF(C114="","",IFERROR(VLOOKUP(C114,'Personnes'!$A$8:$Z$47,3,FALSE),""))</f>
        <v/>
      </c>
      <c r="E114" s="25" t="str">
        <f>IF(COUNTA(A114:C114,F114:R114)=0,"",IF(OR(A114="",B114="",C114="",COUNTIF(Projets,A114)&lt;&gt;1,COUNTIF(Personnes,C114)&lt;&gt;1),"Identité à corriger",IF(Calculs!T114&gt;0,"Charge à corriger",IF(Calculs!U114&gt;0,"Hors période", "OK"))))</f>
        <v/>
      </c>
      <c r="F114" s="22" t="n"/>
      <c r="G114" s="22" t="n"/>
      <c r="H114" s="22" t="n"/>
      <c r="I114" s="22" t="n"/>
      <c r="J114" s="22" t="n"/>
      <c r="K114" s="22" t="n"/>
      <c r="L114" s="22" t="n"/>
      <c r="M114" s="22" t="n"/>
      <c r="N114" s="22" t="n"/>
      <c r="O114" s="22" t="n"/>
      <c r="P114" s="22" t="n"/>
      <c r="Q114" s="22" t="n"/>
      <c r="R114" s="22" t="n"/>
      <c r="S114" s="21" t="n"/>
    </row>
    <row r="115" ht="28" customHeight="1">
      <c r="A115" s="21" t="n"/>
      <c r="B115" s="21" t="n"/>
      <c r="C115" s="21" t="n"/>
      <c r="D115" s="27" t="str">
        <f>IF(C115="","",IFERROR(VLOOKUP(C115,'Personnes'!$A$8:$Z$47,3,FALSE),""))</f>
        <v/>
      </c>
      <c r="E115" s="27" t="str">
        <f>IF(COUNTA(A115:C115,F115:R115)=0,"",IF(OR(A115="",B115="",C115="",COUNTIF(Projets,A115)&lt;&gt;1,COUNTIF(Personnes,C115)&lt;&gt;1),"Identité à corriger",IF(Calculs!T115&gt;0,"Charge à corriger",IF(Calculs!U115&gt;0,"Hors période", "OK"))))</f>
        <v/>
      </c>
      <c r="F115" s="22" t="n"/>
      <c r="G115" s="22" t="n"/>
      <c r="H115" s="22" t="n"/>
      <c r="I115" s="22" t="n"/>
      <c r="J115" s="22" t="n"/>
      <c r="K115" s="22" t="n"/>
      <c r="L115" s="22" t="n"/>
      <c r="M115" s="22" t="n"/>
      <c r="N115" s="22" t="n"/>
      <c r="O115" s="22" t="n"/>
      <c r="P115" s="22" t="n"/>
      <c r="Q115" s="22" t="n"/>
      <c r="R115" s="22" t="n"/>
      <c r="S115" s="21" t="n"/>
    </row>
    <row r="116" ht="28" customHeight="1">
      <c r="A116" s="21" t="n"/>
      <c r="B116" s="21" t="n"/>
      <c r="C116" s="21" t="n"/>
      <c r="D116" s="25" t="str">
        <f>IF(C116="","",IFERROR(VLOOKUP(C116,'Personnes'!$A$8:$Z$47,3,FALSE),""))</f>
        <v/>
      </c>
      <c r="E116" s="25" t="str">
        <f>IF(COUNTA(A116:C116,F116:R116)=0,"",IF(OR(A116="",B116="",C116="",COUNTIF(Projets,A116)&lt;&gt;1,COUNTIF(Personnes,C116)&lt;&gt;1),"Identité à corriger",IF(Calculs!T116&gt;0,"Charge à corriger",IF(Calculs!U116&gt;0,"Hors période", "OK"))))</f>
        <v/>
      </c>
      <c r="F116" s="22" t="n"/>
      <c r="G116" s="22" t="n"/>
      <c r="H116" s="22" t="n"/>
      <c r="I116" s="22" t="n"/>
      <c r="J116" s="22" t="n"/>
      <c r="K116" s="22" t="n"/>
      <c r="L116" s="22" t="n"/>
      <c r="M116" s="22" t="n"/>
      <c r="N116" s="22" t="n"/>
      <c r="O116" s="22" t="n"/>
      <c r="P116" s="22" t="n"/>
      <c r="Q116" s="22" t="n"/>
      <c r="R116" s="22" t="n"/>
      <c r="S116" s="21" t="n"/>
    </row>
    <row r="117" ht="28" customHeight="1">
      <c r="A117" s="21" t="n"/>
      <c r="B117" s="21" t="n"/>
      <c r="C117" s="21" t="n"/>
      <c r="D117" s="27" t="str">
        <f>IF(C117="","",IFERROR(VLOOKUP(C117,'Personnes'!$A$8:$Z$47,3,FALSE),""))</f>
        <v/>
      </c>
      <c r="E117" s="27" t="str">
        <f>IF(COUNTA(A117:C117,F117:R117)=0,"",IF(OR(A117="",B117="",C117="",COUNTIF(Projets,A117)&lt;&gt;1,COUNTIF(Personnes,C117)&lt;&gt;1),"Identité à corriger",IF(Calculs!T117&gt;0,"Charge à corriger",IF(Calculs!U117&gt;0,"Hors période", "OK"))))</f>
        <v/>
      </c>
      <c r="F117" s="22" t="n"/>
      <c r="G117" s="22" t="n"/>
      <c r="H117" s="22" t="n"/>
      <c r="I117" s="22" t="n"/>
      <c r="J117" s="22" t="n"/>
      <c r="K117" s="22" t="n"/>
      <c r="L117" s="22" t="n"/>
      <c r="M117" s="22" t="n"/>
      <c r="N117" s="22" t="n"/>
      <c r="O117" s="22" t="n"/>
      <c r="P117" s="22" t="n"/>
      <c r="Q117" s="22" t="n"/>
      <c r="R117" s="22" t="n"/>
      <c r="S117" s="21" t="n"/>
    </row>
    <row r="118" ht="28" customHeight="1">
      <c r="A118" s="21" t="n"/>
      <c r="B118" s="21" t="n"/>
      <c r="C118" s="21" t="n"/>
      <c r="D118" s="25" t="str">
        <f>IF(C118="","",IFERROR(VLOOKUP(C118,'Personnes'!$A$8:$Z$47,3,FALSE),""))</f>
        <v/>
      </c>
      <c r="E118" s="25" t="str">
        <f>IF(COUNTA(A118:C118,F118:R118)=0,"",IF(OR(A118="",B118="",C118="",COUNTIF(Projets,A118)&lt;&gt;1,COUNTIF(Personnes,C118)&lt;&gt;1),"Identité à corriger",IF(Calculs!T118&gt;0,"Charge à corriger",IF(Calculs!U118&gt;0,"Hors période", "OK"))))</f>
        <v/>
      </c>
      <c r="F118" s="22" t="n"/>
      <c r="G118" s="22" t="n"/>
      <c r="H118" s="22" t="n"/>
      <c r="I118" s="22" t="n"/>
      <c r="J118" s="22" t="n"/>
      <c r="K118" s="22" t="n"/>
      <c r="L118" s="22" t="n"/>
      <c r="M118" s="22" t="n"/>
      <c r="N118" s="22" t="n"/>
      <c r="O118" s="22" t="n"/>
      <c r="P118" s="22" t="n"/>
      <c r="Q118" s="22" t="n"/>
      <c r="R118" s="22" t="n"/>
      <c r="S118" s="21" t="n"/>
    </row>
    <row r="119" ht="28" customHeight="1">
      <c r="A119" s="21" t="n"/>
      <c r="B119" s="21" t="n"/>
      <c r="C119" s="21" t="n"/>
      <c r="D119" s="27" t="str">
        <f>IF(C119="","",IFERROR(VLOOKUP(C119,'Personnes'!$A$8:$Z$47,3,FALSE),""))</f>
        <v/>
      </c>
      <c r="E119" s="27" t="str">
        <f>IF(COUNTA(A119:C119,F119:R119)=0,"",IF(OR(A119="",B119="",C119="",COUNTIF(Projets,A119)&lt;&gt;1,COUNTIF(Personnes,C119)&lt;&gt;1),"Identité à corriger",IF(Calculs!T119&gt;0,"Charge à corriger",IF(Calculs!U119&gt;0,"Hors période", "OK"))))</f>
        <v/>
      </c>
      <c r="F119" s="22" t="n"/>
      <c r="G119" s="22" t="n"/>
      <c r="H119" s="22" t="n"/>
      <c r="I119" s="22" t="n"/>
      <c r="J119" s="22" t="n"/>
      <c r="K119" s="22" t="n"/>
      <c r="L119" s="22" t="n"/>
      <c r="M119" s="22" t="n"/>
      <c r="N119" s="22" t="n"/>
      <c r="O119" s="22" t="n"/>
      <c r="P119" s="22" t="n"/>
      <c r="Q119" s="22" t="n"/>
      <c r="R119" s="22" t="n"/>
      <c r="S119" s="21" t="n"/>
    </row>
    <row r="120" ht="28" customHeight="1">
      <c r="A120" s="21" t="n"/>
      <c r="B120" s="21" t="n"/>
      <c r="C120" s="21" t="n"/>
      <c r="D120" s="25" t="str">
        <f>IF(C120="","",IFERROR(VLOOKUP(C120,'Personnes'!$A$8:$Z$47,3,FALSE),""))</f>
        <v/>
      </c>
      <c r="E120" s="25" t="str">
        <f>IF(COUNTA(A120:C120,F120:R120)=0,"",IF(OR(A120="",B120="",C120="",COUNTIF(Projets,A120)&lt;&gt;1,COUNTIF(Personnes,C120)&lt;&gt;1),"Identité à corriger",IF(Calculs!T120&gt;0,"Charge à corriger",IF(Calculs!U120&gt;0,"Hors période", "OK"))))</f>
        <v/>
      </c>
      <c r="F120" s="22" t="n"/>
      <c r="G120" s="22" t="n"/>
      <c r="H120" s="22" t="n"/>
      <c r="I120" s="22" t="n"/>
      <c r="J120" s="22" t="n"/>
      <c r="K120" s="22" t="n"/>
      <c r="L120" s="22" t="n"/>
      <c r="M120" s="22" t="n"/>
      <c r="N120" s="22" t="n"/>
      <c r="O120" s="22" t="n"/>
      <c r="P120" s="22" t="n"/>
      <c r="Q120" s="22" t="n"/>
      <c r="R120" s="22" t="n"/>
      <c r="S120" s="21" t="n"/>
    </row>
    <row r="121" ht="28" customHeight="1">
      <c r="A121" s="21" t="n"/>
      <c r="B121" s="21" t="n"/>
      <c r="C121" s="21" t="n"/>
      <c r="D121" s="27" t="str">
        <f>IF(C121="","",IFERROR(VLOOKUP(C121,'Personnes'!$A$8:$Z$47,3,FALSE),""))</f>
        <v/>
      </c>
      <c r="E121" s="27" t="str">
        <f>IF(COUNTA(A121:C121,F121:R121)=0,"",IF(OR(A121="",B121="",C121="",COUNTIF(Projets,A121)&lt;&gt;1,COUNTIF(Personnes,C121)&lt;&gt;1),"Identité à corriger",IF(Calculs!T121&gt;0,"Charge à corriger",IF(Calculs!U121&gt;0,"Hors période", "OK"))))</f>
        <v/>
      </c>
      <c r="F121" s="22" t="n"/>
      <c r="G121" s="22" t="n"/>
      <c r="H121" s="22" t="n"/>
      <c r="I121" s="22" t="n"/>
      <c r="J121" s="22" t="n"/>
      <c r="K121" s="22" t="n"/>
      <c r="L121" s="22" t="n"/>
      <c r="M121" s="22" t="n"/>
      <c r="N121" s="22" t="n"/>
      <c r="O121" s="22" t="n"/>
      <c r="P121" s="22" t="n"/>
      <c r="Q121" s="22" t="n"/>
      <c r="R121" s="22" t="n"/>
      <c r="S121" s="21" t="n"/>
    </row>
    <row r="122" ht="28" customHeight="1">
      <c r="A122" s="21" t="n"/>
      <c r="B122" s="21" t="n"/>
      <c r="C122" s="21" t="n"/>
      <c r="D122" s="25" t="str">
        <f>IF(C122="","",IFERROR(VLOOKUP(C122,'Personnes'!$A$8:$Z$47,3,FALSE),""))</f>
        <v/>
      </c>
      <c r="E122" s="25" t="str">
        <f>IF(COUNTA(A122:C122,F122:R122)=0,"",IF(OR(A122="",B122="",C122="",COUNTIF(Projets,A122)&lt;&gt;1,COUNTIF(Personnes,C122)&lt;&gt;1),"Identité à corriger",IF(Calculs!T122&gt;0,"Charge à corriger",IF(Calculs!U122&gt;0,"Hors période", "OK"))))</f>
        <v/>
      </c>
      <c r="F122" s="22" t="n"/>
      <c r="G122" s="22" t="n"/>
      <c r="H122" s="22" t="n"/>
      <c r="I122" s="22" t="n"/>
      <c r="J122" s="22" t="n"/>
      <c r="K122" s="22" t="n"/>
      <c r="L122" s="22" t="n"/>
      <c r="M122" s="22" t="n"/>
      <c r="N122" s="22" t="n"/>
      <c r="O122" s="22" t="n"/>
      <c r="P122" s="22" t="n"/>
      <c r="Q122" s="22" t="n"/>
      <c r="R122" s="22" t="n"/>
      <c r="S122" s="21" t="n"/>
    </row>
    <row r="123" ht="28" customHeight="1">
      <c r="A123" s="21" t="n"/>
      <c r="B123" s="21" t="n"/>
      <c r="C123" s="21" t="n"/>
      <c r="D123" s="27" t="str">
        <f>IF(C123="","",IFERROR(VLOOKUP(C123,'Personnes'!$A$8:$Z$47,3,FALSE),""))</f>
        <v/>
      </c>
      <c r="E123" s="27" t="str">
        <f>IF(COUNTA(A123:C123,F123:R123)=0,"",IF(OR(A123="",B123="",C123="",COUNTIF(Projets,A123)&lt;&gt;1,COUNTIF(Personnes,C123)&lt;&gt;1),"Identité à corriger",IF(Calculs!T123&gt;0,"Charge à corriger",IF(Calculs!U123&gt;0,"Hors période", "OK"))))</f>
        <v/>
      </c>
      <c r="F123" s="22" t="n"/>
      <c r="G123" s="22" t="n"/>
      <c r="H123" s="22" t="n"/>
      <c r="I123" s="22" t="n"/>
      <c r="J123" s="22" t="n"/>
      <c r="K123" s="22" t="n"/>
      <c r="L123" s="22" t="n"/>
      <c r="M123" s="22" t="n"/>
      <c r="N123" s="22" t="n"/>
      <c r="O123" s="22" t="n"/>
      <c r="P123" s="22" t="n"/>
      <c r="Q123" s="22" t="n"/>
      <c r="R123" s="22" t="n"/>
      <c r="S123" s="21" t="n"/>
    </row>
    <row r="124" ht="28" customHeight="1">
      <c r="A124" s="21" t="n"/>
      <c r="B124" s="21" t="n"/>
      <c r="C124" s="21" t="n"/>
      <c r="D124" s="25" t="str">
        <f>IF(C124="","",IFERROR(VLOOKUP(C124,'Personnes'!$A$8:$Z$47,3,FALSE),""))</f>
        <v/>
      </c>
      <c r="E124" s="25" t="str">
        <f>IF(COUNTA(A124:C124,F124:R124)=0,"",IF(OR(A124="",B124="",C124="",COUNTIF(Projets,A124)&lt;&gt;1,COUNTIF(Personnes,C124)&lt;&gt;1),"Identité à corriger",IF(Calculs!T124&gt;0,"Charge à corriger",IF(Calculs!U124&gt;0,"Hors période", "OK"))))</f>
        <v/>
      </c>
      <c r="F124" s="22" t="n"/>
      <c r="G124" s="22" t="n"/>
      <c r="H124" s="22" t="n"/>
      <c r="I124" s="22" t="n"/>
      <c r="J124" s="22" t="n"/>
      <c r="K124" s="22" t="n"/>
      <c r="L124" s="22" t="n"/>
      <c r="M124" s="22" t="n"/>
      <c r="N124" s="22" t="n"/>
      <c r="O124" s="22" t="n"/>
      <c r="P124" s="22" t="n"/>
      <c r="Q124" s="22" t="n"/>
      <c r="R124" s="22" t="n"/>
      <c r="S124" s="21" t="n"/>
    </row>
    <row r="125" ht="28" customHeight="1">
      <c r="A125" s="21" t="n"/>
      <c r="B125" s="21" t="n"/>
      <c r="C125" s="21" t="n"/>
      <c r="D125" s="27" t="str">
        <f>IF(C125="","",IFERROR(VLOOKUP(C125,'Personnes'!$A$8:$Z$47,3,FALSE),""))</f>
        <v/>
      </c>
      <c r="E125" s="27" t="str">
        <f>IF(COUNTA(A125:C125,F125:R125)=0,"",IF(OR(A125="",B125="",C125="",COUNTIF(Projets,A125)&lt;&gt;1,COUNTIF(Personnes,C125)&lt;&gt;1),"Identité à corriger",IF(Calculs!T125&gt;0,"Charge à corriger",IF(Calculs!U125&gt;0,"Hors période", "OK"))))</f>
        <v/>
      </c>
      <c r="F125" s="22" t="n"/>
      <c r="G125" s="22" t="n"/>
      <c r="H125" s="22" t="n"/>
      <c r="I125" s="22" t="n"/>
      <c r="J125" s="22" t="n"/>
      <c r="K125" s="22" t="n"/>
      <c r="L125" s="22" t="n"/>
      <c r="M125" s="22" t="n"/>
      <c r="N125" s="22" t="n"/>
      <c r="O125" s="22" t="n"/>
      <c r="P125" s="22" t="n"/>
      <c r="Q125" s="22" t="n"/>
      <c r="R125" s="22" t="n"/>
      <c r="S125" s="21" t="n"/>
    </row>
    <row r="126" ht="28" customHeight="1">
      <c r="A126" s="21" t="n"/>
      <c r="B126" s="21" t="n"/>
      <c r="C126" s="21" t="n"/>
      <c r="D126" s="25" t="str">
        <f>IF(C126="","",IFERROR(VLOOKUP(C126,'Personnes'!$A$8:$Z$47,3,FALSE),""))</f>
        <v/>
      </c>
      <c r="E126" s="25" t="str">
        <f>IF(COUNTA(A126:C126,F126:R126)=0,"",IF(OR(A126="",B126="",C126="",COUNTIF(Projets,A126)&lt;&gt;1,COUNTIF(Personnes,C126)&lt;&gt;1),"Identité à corriger",IF(Calculs!T126&gt;0,"Charge à corriger",IF(Calculs!U126&gt;0,"Hors période", "OK"))))</f>
        <v/>
      </c>
      <c r="F126" s="22" t="n"/>
      <c r="G126" s="22" t="n"/>
      <c r="H126" s="22" t="n"/>
      <c r="I126" s="22" t="n"/>
      <c r="J126" s="22" t="n"/>
      <c r="K126" s="22" t="n"/>
      <c r="L126" s="22" t="n"/>
      <c r="M126" s="22" t="n"/>
      <c r="N126" s="22" t="n"/>
      <c r="O126" s="22" t="n"/>
      <c r="P126" s="22" t="n"/>
      <c r="Q126" s="22" t="n"/>
      <c r="R126" s="22" t="n"/>
      <c r="S126" s="21" t="n"/>
    </row>
    <row r="127" ht="28" customHeight="1">
      <c r="A127" s="21" t="n"/>
      <c r="B127" s="21" t="n"/>
      <c r="C127" s="21" t="n"/>
      <c r="D127" s="27" t="str">
        <f>IF(C127="","",IFERROR(VLOOKUP(C127,'Personnes'!$A$8:$Z$47,3,FALSE),""))</f>
        <v/>
      </c>
      <c r="E127" s="27" t="str">
        <f>IF(COUNTA(A127:C127,F127:R127)=0,"",IF(OR(A127="",B127="",C127="",COUNTIF(Projets,A127)&lt;&gt;1,COUNTIF(Personnes,C127)&lt;&gt;1),"Identité à corriger",IF(Calculs!T127&gt;0,"Charge à corriger",IF(Calculs!U127&gt;0,"Hors période", "OK"))))</f>
        <v/>
      </c>
      <c r="F127" s="22" t="n"/>
      <c r="G127" s="22" t="n"/>
      <c r="H127" s="22" t="n"/>
      <c r="I127" s="22" t="n"/>
      <c r="J127" s="22" t="n"/>
      <c r="K127" s="22" t="n"/>
      <c r="L127" s="22" t="n"/>
      <c r="M127" s="22" t="n"/>
      <c r="N127" s="22" t="n"/>
      <c r="O127" s="22" t="n"/>
      <c r="P127" s="22" t="n"/>
      <c r="Q127" s="22" t="n"/>
      <c r="R127" s="22" t="n"/>
      <c r="S127" s="21" t="n"/>
    </row>
    <row r="128" ht="28" customHeight="1">
      <c r="A128" s="21" t="n"/>
      <c r="B128" s="21" t="n"/>
      <c r="C128" s="21" t="n"/>
      <c r="D128" s="25" t="str">
        <f>IF(C128="","",IFERROR(VLOOKUP(C128,'Personnes'!$A$8:$Z$47,3,FALSE),""))</f>
        <v/>
      </c>
      <c r="E128" s="25" t="str">
        <f>IF(COUNTA(A128:C128,F128:R128)=0,"",IF(OR(A128="",B128="",C128="",COUNTIF(Projets,A128)&lt;&gt;1,COUNTIF(Personnes,C128)&lt;&gt;1),"Identité à corriger",IF(Calculs!T128&gt;0,"Charge à corriger",IF(Calculs!U128&gt;0,"Hors période", "OK"))))</f>
        <v/>
      </c>
      <c r="F128" s="22" t="n"/>
      <c r="G128" s="22" t="n"/>
      <c r="H128" s="22" t="n"/>
      <c r="I128" s="22" t="n"/>
      <c r="J128" s="22" t="n"/>
      <c r="K128" s="22" t="n"/>
      <c r="L128" s="22" t="n"/>
      <c r="M128" s="22" t="n"/>
      <c r="N128" s="22" t="n"/>
      <c r="O128" s="22" t="n"/>
      <c r="P128" s="22" t="n"/>
      <c r="Q128" s="22" t="n"/>
      <c r="R128" s="22" t="n"/>
      <c r="S128" s="21" t="n"/>
    </row>
    <row r="129" ht="28" customHeight="1">
      <c r="A129" s="21" t="n"/>
      <c r="B129" s="21" t="n"/>
      <c r="C129" s="21" t="n"/>
      <c r="D129" s="27" t="str">
        <f>IF(C129="","",IFERROR(VLOOKUP(C129,'Personnes'!$A$8:$Z$47,3,FALSE),""))</f>
        <v/>
      </c>
      <c r="E129" s="27" t="str">
        <f>IF(COUNTA(A129:C129,F129:R129)=0,"",IF(OR(A129="",B129="",C129="",COUNTIF(Projets,A129)&lt;&gt;1,COUNTIF(Personnes,C129)&lt;&gt;1),"Identité à corriger",IF(Calculs!T129&gt;0,"Charge à corriger",IF(Calculs!U129&gt;0,"Hors période", "OK"))))</f>
        <v/>
      </c>
      <c r="F129" s="22" t="n"/>
      <c r="G129" s="22" t="n"/>
      <c r="H129" s="22" t="n"/>
      <c r="I129" s="22" t="n"/>
      <c r="J129" s="22" t="n"/>
      <c r="K129" s="22" t="n"/>
      <c r="L129" s="22" t="n"/>
      <c r="M129" s="22" t="n"/>
      <c r="N129" s="22" t="n"/>
      <c r="O129" s="22" t="n"/>
      <c r="P129" s="22" t="n"/>
      <c r="Q129" s="22" t="n"/>
      <c r="R129" s="22" t="n"/>
      <c r="S129" s="21" t="n"/>
    </row>
    <row r="130" ht="28" customHeight="1">
      <c r="A130" s="21" t="n"/>
      <c r="B130" s="21" t="n"/>
      <c r="C130" s="21" t="n"/>
      <c r="D130" s="25" t="str">
        <f>IF(C130="","",IFERROR(VLOOKUP(C130,'Personnes'!$A$8:$Z$47,3,FALSE),""))</f>
        <v/>
      </c>
      <c r="E130" s="25" t="str">
        <f>IF(COUNTA(A130:C130,F130:R130)=0,"",IF(OR(A130="",B130="",C130="",COUNTIF(Projets,A130)&lt;&gt;1,COUNTIF(Personnes,C130)&lt;&gt;1),"Identité à corriger",IF(Calculs!T130&gt;0,"Charge à corriger",IF(Calculs!U130&gt;0,"Hors période", "OK"))))</f>
        <v/>
      </c>
      <c r="F130" s="22" t="n"/>
      <c r="G130" s="22" t="n"/>
      <c r="H130" s="22" t="n"/>
      <c r="I130" s="22" t="n"/>
      <c r="J130" s="22" t="n"/>
      <c r="K130" s="22" t="n"/>
      <c r="L130" s="22" t="n"/>
      <c r="M130" s="22" t="n"/>
      <c r="N130" s="22" t="n"/>
      <c r="O130" s="22" t="n"/>
      <c r="P130" s="22" t="n"/>
      <c r="Q130" s="22" t="n"/>
      <c r="R130" s="22" t="n"/>
      <c r="S130" s="21" t="n"/>
    </row>
    <row r="131" ht="28" customHeight="1">
      <c r="A131" s="21" t="n"/>
      <c r="B131" s="21" t="n"/>
      <c r="C131" s="21" t="n"/>
      <c r="D131" s="27" t="str">
        <f>IF(C131="","",IFERROR(VLOOKUP(C131,'Personnes'!$A$8:$Z$47,3,FALSE),""))</f>
        <v/>
      </c>
      <c r="E131" s="27" t="str">
        <f>IF(COUNTA(A131:C131,F131:R131)=0,"",IF(OR(A131="",B131="",C131="",COUNTIF(Projets,A131)&lt;&gt;1,COUNTIF(Personnes,C131)&lt;&gt;1),"Identité à corriger",IF(Calculs!T131&gt;0,"Charge à corriger",IF(Calculs!U131&gt;0,"Hors période", "OK"))))</f>
        <v/>
      </c>
      <c r="F131" s="22" t="n"/>
      <c r="G131" s="22" t="n"/>
      <c r="H131" s="22" t="n"/>
      <c r="I131" s="22" t="n"/>
      <c r="J131" s="22" t="n"/>
      <c r="K131" s="22" t="n"/>
      <c r="L131" s="22" t="n"/>
      <c r="M131" s="22" t="n"/>
      <c r="N131" s="22" t="n"/>
      <c r="O131" s="22" t="n"/>
      <c r="P131" s="22" t="n"/>
      <c r="Q131" s="22" t="n"/>
      <c r="R131" s="22" t="n"/>
      <c r="S131" s="21" t="n"/>
    </row>
    <row r="132" ht="28" customHeight="1">
      <c r="A132" s="21" t="n"/>
      <c r="B132" s="21" t="n"/>
      <c r="C132" s="21" t="n"/>
      <c r="D132" s="25" t="str">
        <f>IF(C132="","",IFERROR(VLOOKUP(C132,'Personnes'!$A$8:$Z$47,3,FALSE),""))</f>
        <v/>
      </c>
      <c r="E132" s="25" t="str">
        <f>IF(COUNTA(A132:C132,F132:R132)=0,"",IF(OR(A132="",B132="",C132="",COUNTIF(Projets,A132)&lt;&gt;1,COUNTIF(Personnes,C132)&lt;&gt;1),"Identité à corriger",IF(Calculs!T132&gt;0,"Charge à corriger",IF(Calculs!U132&gt;0,"Hors période", "OK"))))</f>
        <v/>
      </c>
      <c r="F132" s="22" t="n"/>
      <c r="G132" s="22" t="n"/>
      <c r="H132" s="22" t="n"/>
      <c r="I132" s="22" t="n"/>
      <c r="J132" s="22" t="n"/>
      <c r="K132" s="22" t="n"/>
      <c r="L132" s="22" t="n"/>
      <c r="M132" s="22" t="n"/>
      <c r="N132" s="22" t="n"/>
      <c r="O132" s="22" t="n"/>
      <c r="P132" s="22" t="n"/>
      <c r="Q132" s="22" t="n"/>
      <c r="R132" s="22" t="n"/>
      <c r="S132" s="21" t="n"/>
    </row>
    <row r="133" ht="28" customHeight="1">
      <c r="A133" s="21" t="n"/>
      <c r="B133" s="21" t="n"/>
      <c r="C133" s="21" t="n"/>
      <c r="D133" s="27" t="str">
        <f>IF(C133="","",IFERROR(VLOOKUP(C133,'Personnes'!$A$8:$Z$47,3,FALSE),""))</f>
        <v/>
      </c>
      <c r="E133" s="27" t="str">
        <f>IF(COUNTA(A133:C133,F133:R133)=0,"",IF(OR(A133="",B133="",C133="",COUNTIF(Projets,A133)&lt;&gt;1,COUNTIF(Personnes,C133)&lt;&gt;1),"Identité à corriger",IF(Calculs!T133&gt;0,"Charge à corriger",IF(Calculs!U133&gt;0,"Hors période", "OK"))))</f>
        <v/>
      </c>
      <c r="F133" s="22" t="n"/>
      <c r="G133" s="22" t="n"/>
      <c r="H133" s="22" t="n"/>
      <c r="I133" s="22" t="n"/>
      <c r="J133" s="22" t="n"/>
      <c r="K133" s="22" t="n"/>
      <c r="L133" s="22" t="n"/>
      <c r="M133" s="22" t="n"/>
      <c r="N133" s="22" t="n"/>
      <c r="O133" s="22" t="n"/>
      <c r="P133" s="22" t="n"/>
      <c r="Q133" s="22" t="n"/>
      <c r="R133" s="22" t="n"/>
      <c r="S133" s="21" t="n"/>
    </row>
    <row r="134" ht="28" customHeight="1">
      <c r="A134" s="21" t="n"/>
      <c r="B134" s="21" t="n"/>
      <c r="C134" s="21" t="n"/>
      <c r="D134" s="25" t="str">
        <f>IF(C134="","",IFERROR(VLOOKUP(C134,'Personnes'!$A$8:$Z$47,3,FALSE),""))</f>
        <v/>
      </c>
      <c r="E134" s="25" t="str">
        <f>IF(COUNTA(A134:C134,F134:R134)=0,"",IF(OR(A134="",B134="",C134="",COUNTIF(Projets,A134)&lt;&gt;1,COUNTIF(Personnes,C134)&lt;&gt;1),"Identité à corriger",IF(Calculs!T134&gt;0,"Charge à corriger",IF(Calculs!U134&gt;0,"Hors période", "OK"))))</f>
        <v/>
      </c>
      <c r="F134" s="22" t="n"/>
      <c r="G134" s="22" t="n"/>
      <c r="H134" s="22" t="n"/>
      <c r="I134" s="22" t="n"/>
      <c r="J134" s="22" t="n"/>
      <c r="K134" s="22" t="n"/>
      <c r="L134" s="22" t="n"/>
      <c r="M134" s="22" t="n"/>
      <c r="N134" s="22" t="n"/>
      <c r="O134" s="22" t="n"/>
      <c r="P134" s="22" t="n"/>
      <c r="Q134" s="22" t="n"/>
      <c r="R134" s="22" t="n"/>
      <c r="S134" s="21" t="n"/>
    </row>
    <row r="135" ht="28" customHeight="1">
      <c r="A135" s="21" t="n"/>
      <c r="B135" s="21" t="n"/>
      <c r="C135" s="21" t="n"/>
      <c r="D135" s="27" t="str">
        <f>IF(C135="","",IFERROR(VLOOKUP(C135,'Personnes'!$A$8:$Z$47,3,FALSE),""))</f>
        <v/>
      </c>
      <c r="E135" s="27" t="str">
        <f>IF(COUNTA(A135:C135,F135:R135)=0,"",IF(OR(A135="",B135="",C135="",COUNTIF(Projets,A135)&lt;&gt;1,COUNTIF(Personnes,C135)&lt;&gt;1),"Identité à corriger",IF(Calculs!T135&gt;0,"Charge à corriger",IF(Calculs!U135&gt;0,"Hors période", "OK"))))</f>
        <v/>
      </c>
      <c r="F135" s="22" t="n"/>
      <c r="G135" s="22" t="n"/>
      <c r="H135" s="22" t="n"/>
      <c r="I135" s="22" t="n"/>
      <c r="J135" s="22" t="n"/>
      <c r="K135" s="22" t="n"/>
      <c r="L135" s="22" t="n"/>
      <c r="M135" s="22" t="n"/>
      <c r="N135" s="22" t="n"/>
      <c r="O135" s="22" t="n"/>
      <c r="P135" s="22" t="n"/>
      <c r="Q135" s="22" t="n"/>
      <c r="R135" s="22" t="n"/>
      <c r="S135" s="21" t="n"/>
    </row>
    <row r="136" ht="28" customHeight="1">
      <c r="A136" s="21" t="n"/>
      <c r="B136" s="21" t="n"/>
      <c r="C136" s="21" t="n"/>
      <c r="D136" s="25" t="str">
        <f>IF(C136="","",IFERROR(VLOOKUP(C136,'Personnes'!$A$8:$Z$47,3,FALSE),""))</f>
        <v/>
      </c>
      <c r="E136" s="25" t="str">
        <f>IF(COUNTA(A136:C136,F136:R136)=0,"",IF(OR(A136="",B136="",C136="",COUNTIF(Projets,A136)&lt;&gt;1,COUNTIF(Personnes,C136)&lt;&gt;1),"Identité à corriger",IF(Calculs!T136&gt;0,"Charge à corriger",IF(Calculs!U136&gt;0,"Hors période", "OK"))))</f>
        <v/>
      </c>
      <c r="F136" s="22" t="n"/>
      <c r="G136" s="22" t="n"/>
      <c r="H136" s="22" t="n"/>
      <c r="I136" s="22" t="n"/>
      <c r="J136" s="22" t="n"/>
      <c r="K136" s="22" t="n"/>
      <c r="L136" s="22" t="n"/>
      <c r="M136" s="22" t="n"/>
      <c r="N136" s="22" t="n"/>
      <c r="O136" s="22" t="n"/>
      <c r="P136" s="22" t="n"/>
      <c r="Q136" s="22" t="n"/>
      <c r="R136" s="22" t="n"/>
      <c r="S136" s="21" t="n"/>
    </row>
    <row r="137" ht="28" customHeight="1">
      <c r="A137" s="21" t="n"/>
      <c r="B137" s="21" t="n"/>
      <c r="C137" s="21" t="n"/>
      <c r="D137" s="27" t="str">
        <f>IF(C137="","",IFERROR(VLOOKUP(C137,'Personnes'!$A$8:$Z$47,3,FALSE),""))</f>
        <v/>
      </c>
      <c r="E137" s="27" t="str">
        <f>IF(COUNTA(A137:C137,F137:R137)=0,"",IF(OR(A137="",B137="",C137="",COUNTIF(Projets,A137)&lt;&gt;1,COUNTIF(Personnes,C137)&lt;&gt;1),"Identité à corriger",IF(Calculs!T137&gt;0,"Charge à corriger",IF(Calculs!U137&gt;0,"Hors période", "OK"))))</f>
        <v/>
      </c>
      <c r="F137" s="22" t="n"/>
      <c r="G137" s="22" t="n"/>
      <c r="H137" s="22" t="n"/>
      <c r="I137" s="22" t="n"/>
      <c r="J137" s="22" t="n"/>
      <c r="K137" s="22" t="n"/>
      <c r="L137" s="22" t="n"/>
      <c r="M137" s="22" t="n"/>
      <c r="N137" s="22" t="n"/>
      <c r="O137" s="22" t="n"/>
      <c r="P137" s="22" t="n"/>
      <c r="Q137" s="22" t="n"/>
      <c r="R137" s="22" t="n"/>
      <c r="S137" s="21" t="n"/>
    </row>
    <row r="138" ht="28" customHeight="1">
      <c r="A138" s="21" t="n"/>
      <c r="B138" s="21" t="n"/>
      <c r="C138" s="21" t="n"/>
      <c r="D138" s="25" t="str">
        <f>IF(C138="","",IFERROR(VLOOKUP(C138,'Personnes'!$A$8:$Z$47,3,FALSE),""))</f>
        <v/>
      </c>
      <c r="E138" s="25" t="str">
        <f>IF(COUNTA(A138:C138,F138:R138)=0,"",IF(OR(A138="",B138="",C138="",COUNTIF(Projets,A138)&lt;&gt;1,COUNTIF(Personnes,C138)&lt;&gt;1),"Identité à corriger",IF(Calculs!T138&gt;0,"Charge à corriger",IF(Calculs!U138&gt;0,"Hors période", "OK"))))</f>
        <v/>
      </c>
      <c r="F138" s="22" t="n"/>
      <c r="G138" s="22" t="n"/>
      <c r="H138" s="22" t="n"/>
      <c r="I138" s="22" t="n"/>
      <c r="J138" s="22" t="n"/>
      <c r="K138" s="22" t="n"/>
      <c r="L138" s="22" t="n"/>
      <c r="M138" s="22" t="n"/>
      <c r="N138" s="22" t="n"/>
      <c r="O138" s="22" t="n"/>
      <c r="P138" s="22" t="n"/>
      <c r="Q138" s="22" t="n"/>
      <c r="R138" s="22" t="n"/>
      <c r="S138" s="21" t="n"/>
    </row>
    <row r="139" ht="28" customHeight="1">
      <c r="A139" s="21" t="n"/>
      <c r="B139" s="21" t="n"/>
      <c r="C139" s="21" t="n"/>
      <c r="D139" s="27" t="str">
        <f>IF(C139="","",IFERROR(VLOOKUP(C139,'Personnes'!$A$8:$Z$47,3,FALSE),""))</f>
        <v/>
      </c>
      <c r="E139" s="27" t="str">
        <f>IF(COUNTA(A139:C139,F139:R139)=0,"",IF(OR(A139="",B139="",C139="",COUNTIF(Projets,A139)&lt;&gt;1,COUNTIF(Personnes,C139)&lt;&gt;1),"Identité à corriger",IF(Calculs!T139&gt;0,"Charge à corriger",IF(Calculs!U139&gt;0,"Hors période", "OK"))))</f>
        <v/>
      </c>
      <c r="F139" s="22" t="n"/>
      <c r="G139" s="22" t="n"/>
      <c r="H139" s="22" t="n"/>
      <c r="I139" s="22" t="n"/>
      <c r="J139" s="22" t="n"/>
      <c r="K139" s="22" t="n"/>
      <c r="L139" s="22" t="n"/>
      <c r="M139" s="22" t="n"/>
      <c r="N139" s="22" t="n"/>
      <c r="O139" s="22" t="n"/>
      <c r="P139" s="22" t="n"/>
      <c r="Q139" s="22" t="n"/>
      <c r="R139" s="22" t="n"/>
      <c r="S139" s="21" t="n"/>
    </row>
    <row r="140" ht="28" customHeight="1">
      <c r="A140" s="21" t="n"/>
      <c r="B140" s="21" t="n"/>
      <c r="C140" s="21" t="n"/>
      <c r="D140" s="25" t="str">
        <f>IF(C140="","",IFERROR(VLOOKUP(C140,'Personnes'!$A$8:$Z$47,3,FALSE),""))</f>
        <v/>
      </c>
      <c r="E140" s="25" t="str">
        <f>IF(COUNTA(A140:C140,F140:R140)=0,"",IF(OR(A140="",B140="",C140="",COUNTIF(Projets,A140)&lt;&gt;1,COUNTIF(Personnes,C140)&lt;&gt;1),"Identité à corriger",IF(Calculs!T140&gt;0,"Charge à corriger",IF(Calculs!U140&gt;0,"Hors période", "OK"))))</f>
        <v/>
      </c>
      <c r="F140" s="22" t="n"/>
      <c r="G140" s="22" t="n"/>
      <c r="H140" s="22" t="n"/>
      <c r="I140" s="22" t="n"/>
      <c r="J140" s="22" t="n"/>
      <c r="K140" s="22" t="n"/>
      <c r="L140" s="22" t="n"/>
      <c r="M140" s="22" t="n"/>
      <c r="N140" s="22" t="n"/>
      <c r="O140" s="22" t="n"/>
      <c r="P140" s="22" t="n"/>
      <c r="Q140" s="22" t="n"/>
      <c r="R140" s="22" t="n"/>
      <c r="S140" s="21" t="n"/>
    </row>
    <row r="141" ht="28" customHeight="1">
      <c r="A141" s="21" t="n"/>
      <c r="B141" s="21" t="n"/>
      <c r="C141" s="21" t="n"/>
      <c r="D141" s="27" t="str">
        <f>IF(C141="","",IFERROR(VLOOKUP(C141,'Personnes'!$A$8:$Z$47,3,FALSE),""))</f>
        <v/>
      </c>
      <c r="E141" s="27" t="str">
        <f>IF(COUNTA(A141:C141,F141:R141)=0,"",IF(OR(A141="",B141="",C141="",COUNTIF(Projets,A141)&lt;&gt;1,COUNTIF(Personnes,C141)&lt;&gt;1),"Identité à corriger",IF(Calculs!T141&gt;0,"Charge à corriger",IF(Calculs!U141&gt;0,"Hors période", "OK"))))</f>
        <v/>
      </c>
      <c r="F141" s="22" t="n"/>
      <c r="G141" s="22" t="n"/>
      <c r="H141" s="22" t="n"/>
      <c r="I141" s="22" t="n"/>
      <c r="J141" s="22" t="n"/>
      <c r="K141" s="22" t="n"/>
      <c r="L141" s="22" t="n"/>
      <c r="M141" s="22" t="n"/>
      <c r="N141" s="22" t="n"/>
      <c r="O141" s="22" t="n"/>
      <c r="P141" s="22" t="n"/>
      <c r="Q141" s="22" t="n"/>
      <c r="R141" s="22" t="n"/>
      <c r="S141" s="21" t="n"/>
    </row>
    <row r="142" ht="28" customHeight="1">
      <c r="A142" s="21" t="n"/>
      <c r="B142" s="21" t="n"/>
      <c r="C142" s="21" t="n"/>
      <c r="D142" s="25" t="str">
        <f>IF(C142="","",IFERROR(VLOOKUP(C142,'Personnes'!$A$8:$Z$47,3,FALSE),""))</f>
        <v/>
      </c>
      <c r="E142" s="25" t="str">
        <f>IF(COUNTA(A142:C142,F142:R142)=0,"",IF(OR(A142="",B142="",C142="",COUNTIF(Projets,A142)&lt;&gt;1,COUNTIF(Personnes,C142)&lt;&gt;1),"Identité à corriger",IF(Calculs!T142&gt;0,"Charge à corriger",IF(Calculs!U142&gt;0,"Hors période", "OK"))))</f>
        <v/>
      </c>
      <c r="F142" s="22" t="n"/>
      <c r="G142" s="22" t="n"/>
      <c r="H142" s="22" t="n"/>
      <c r="I142" s="22" t="n"/>
      <c r="J142" s="22" t="n"/>
      <c r="K142" s="22" t="n"/>
      <c r="L142" s="22" t="n"/>
      <c r="M142" s="22" t="n"/>
      <c r="N142" s="22" t="n"/>
      <c r="O142" s="22" t="n"/>
      <c r="P142" s="22" t="n"/>
      <c r="Q142" s="22" t="n"/>
      <c r="R142" s="22" t="n"/>
      <c r="S142" s="21" t="n"/>
    </row>
    <row r="143" ht="28" customHeight="1">
      <c r="A143" s="21" t="n"/>
      <c r="B143" s="21" t="n"/>
      <c r="C143" s="21" t="n"/>
      <c r="D143" s="27" t="str">
        <f>IF(C143="","",IFERROR(VLOOKUP(C143,'Personnes'!$A$8:$Z$47,3,FALSE),""))</f>
        <v/>
      </c>
      <c r="E143" s="27" t="str">
        <f>IF(COUNTA(A143:C143,F143:R143)=0,"",IF(OR(A143="",B143="",C143="",COUNTIF(Projets,A143)&lt;&gt;1,COUNTIF(Personnes,C143)&lt;&gt;1),"Identité à corriger",IF(Calculs!T143&gt;0,"Charge à corriger",IF(Calculs!U143&gt;0,"Hors période", "OK"))))</f>
        <v/>
      </c>
      <c r="F143" s="22" t="n"/>
      <c r="G143" s="22" t="n"/>
      <c r="H143" s="22" t="n"/>
      <c r="I143" s="22" t="n"/>
      <c r="J143" s="22" t="n"/>
      <c r="K143" s="22" t="n"/>
      <c r="L143" s="22" t="n"/>
      <c r="M143" s="22" t="n"/>
      <c r="N143" s="22" t="n"/>
      <c r="O143" s="22" t="n"/>
      <c r="P143" s="22" t="n"/>
      <c r="Q143" s="22" t="n"/>
      <c r="R143" s="22" t="n"/>
      <c r="S143" s="21" t="n"/>
    </row>
    <row r="144" ht="28" customHeight="1">
      <c r="A144" s="21" t="n"/>
      <c r="B144" s="21" t="n"/>
      <c r="C144" s="21" t="n"/>
      <c r="D144" s="25" t="str">
        <f>IF(C144="","",IFERROR(VLOOKUP(C144,'Personnes'!$A$8:$Z$47,3,FALSE),""))</f>
        <v/>
      </c>
      <c r="E144" s="25" t="str">
        <f>IF(COUNTA(A144:C144,F144:R144)=0,"",IF(OR(A144="",B144="",C144="",COUNTIF(Projets,A144)&lt;&gt;1,COUNTIF(Personnes,C144)&lt;&gt;1),"Identité à corriger",IF(Calculs!T144&gt;0,"Charge à corriger",IF(Calculs!U144&gt;0,"Hors période", "OK"))))</f>
        <v/>
      </c>
      <c r="F144" s="22" t="n"/>
      <c r="G144" s="22" t="n"/>
      <c r="H144" s="22" t="n"/>
      <c r="I144" s="22" t="n"/>
      <c r="J144" s="22" t="n"/>
      <c r="K144" s="22" t="n"/>
      <c r="L144" s="22" t="n"/>
      <c r="M144" s="22" t="n"/>
      <c r="N144" s="22" t="n"/>
      <c r="O144" s="22" t="n"/>
      <c r="P144" s="22" t="n"/>
      <c r="Q144" s="22" t="n"/>
      <c r="R144" s="22" t="n"/>
      <c r="S144" s="21" t="n"/>
    </row>
    <row r="145" ht="28" customHeight="1">
      <c r="A145" s="21" t="n"/>
      <c r="B145" s="21" t="n"/>
      <c r="C145" s="21" t="n"/>
      <c r="D145" s="27" t="str">
        <f>IF(C145="","",IFERROR(VLOOKUP(C145,'Personnes'!$A$8:$Z$47,3,FALSE),""))</f>
        <v/>
      </c>
      <c r="E145" s="27" t="str">
        <f>IF(COUNTA(A145:C145,F145:R145)=0,"",IF(OR(A145="",B145="",C145="",COUNTIF(Projets,A145)&lt;&gt;1,COUNTIF(Personnes,C145)&lt;&gt;1),"Identité à corriger",IF(Calculs!T145&gt;0,"Charge à corriger",IF(Calculs!U145&gt;0,"Hors période", "OK"))))</f>
        <v/>
      </c>
      <c r="F145" s="22" t="n"/>
      <c r="G145" s="22" t="n"/>
      <c r="H145" s="22" t="n"/>
      <c r="I145" s="22" t="n"/>
      <c r="J145" s="22" t="n"/>
      <c r="K145" s="22" t="n"/>
      <c r="L145" s="22" t="n"/>
      <c r="M145" s="22" t="n"/>
      <c r="N145" s="22" t="n"/>
      <c r="O145" s="22" t="n"/>
      <c r="P145" s="22" t="n"/>
      <c r="Q145" s="22" t="n"/>
      <c r="R145" s="22" t="n"/>
      <c r="S145" s="21" t="n"/>
    </row>
    <row r="146" ht="28" customHeight="1">
      <c r="A146" s="21" t="n"/>
      <c r="B146" s="21" t="n"/>
      <c r="C146" s="21" t="n"/>
      <c r="D146" s="25" t="str">
        <f>IF(C146="","",IFERROR(VLOOKUP(C146,'Personnes'!$A$8:$Z$47,3,FALSE),""))</f>
        <v/>
      </c>
      <c r="E146" s="25" t="str">
        <f>IF(COUNTA(A146:C146,F146:R146)=0,"",IF(OR(A146="",B146="",C146="",COUNTIF(Projets,A146)&lt;&gt;1,COUNTIF(Personnes,C146)&lt;&gt;1),"Identité à corriger",IF(Calculs!T146&gt;0,"Charge à corriger",IF(Calculs!U146&gt;0,"Hors période", "OK"))))</f>
        <v/>
      </c>
      <c r="F146" s="22" t="n"/>
      <c r="G146" s="22" t="n"/>
      <c r="H146" s="22" t="n"/>
      <c r="I146" s="22" t="n"/>
      <c r="J146" s="22" t="n"/>
      <c r="K146" s="22" t="n"/>
      <c r="L146" s="22" t="n"/>
      <c r="M146" s="22" t="n"/>
      <c r="N146" s="22" t="n"/>
      <c r="O146" s="22" t="n"/>
      <c r="P146" s="22" t="n"/>
      <c r="Q146" s="22" t="n"/>
      <c r="R146" s="22" t="n"/>
      <c r="S146" s="21" t="n"/>
    </row>
    <row r="147" ht="28" customHeight="1">
      <c r="A147" s="21" t="n"/>
      <c r="B147" s="21" t="n"/>
      <c r="C147" s="21" t="n"/>
      <c r="D147" s="27" t="str">
        <f>IF(C147="","",IFERROR(VLOOKUP(C147,'Personnes'!$A$8:$Z$47,3,FALSE),""))</f>
        <v/>
      </c>
      <c r="E147" s="27" t="str">
        <f>IF(COUNTA(A147:C147,F147:R147)=0,"",IF(OR(A147="",B147="",C147="",COUNTIF(Projets,A147)&lt;&gt;1,COUNTIF(Personnes,C147)&lt;&gt;1),"Identité à corriger",IF(Calculs!T147&gt;0,"Charge à corriger",IF(Calculs!U147&gt;0,"Hors période", "OK"))))</f>
        <v/>
      </c>
      <c r="F147" s="22" t="n"/>
      <c r="G147" s="22" t="n"/>
      <c r="H147" s="22" t="n"/>
      <c r="I147" s="22" t="n"/>
      <c r="J147" s="22" t="n"/>
      <c r="K147" s="22" t="n"/>
      <c r="L147" s="22" t="n"/>
      <c r="M147" s="22" t="n"/>
      <c r="N147" s="22" t="n"/>
      <c r="O147" s="22" t="n"/>
      <c r="P147" s="22" t="n"/>
      <c r="Q147" s="22" t="n"/>
      <c r="R147" s="22" t="n"/>
      <c r="S147" s="21" t="n"/>
    </row>
    <row r="148" ht="28" customHeight="1">
      <c r="A148" s="21" t="n"/>
      <c r="B148" s="21" t="n"/>
      <c r="C148" s="21" t="n"/>
      <c r="D148" s="25" t="str">
        <f>IF(C148="","",IFERROR(VLOOKUP(C148,'Personnes'!$A$8:$Z$47,3,FALSE),""))</f>
        <v/>
      </c>
      <c r="E148" s="25" t="str">
        <f>IF(COUNTA(A148:C148,F148:R148)=0,"",IF(OR(A148="",B148="",C148="",COUNTIF(Projets,A148)&lt;&gt;1,COUNTIF(Personnes,C148)&lt;&gt;1),"Identité à corriger",IF(Calculs!T148&gt;0,"Charge à corriger",IF(Calculs!U148&gt;0,"Hors période", "OK"))))</f>
        <v/>
      </c>
      <c r="F148" s="22" t="n"/>
      <c r="G148" s="22" t="n"/>
      <c r="H148" s="22" t="n"/>
      <c r="I148" s="22" t="n"/>
      <c r="J148" s="22" t="n"/>
      <c r="K148" s="22" t="n"/>
      <c r="L148" s="22" t="n"/>
      <c r="M148" s="22" t="n"/>
      <c r="N148" s="22" t="n"/>
      <c r="O148" s="22" t="n"/>
      <c r="P148" s="22" t="n"/>
      <c r="Q148" s="22" t="n"/>
      <c r="R148" s="22" t="n"/>
      <c r="S148" s="21" t="n"/>
    </row>
    <row r="149" ht="28" customHeight="1">
      <c r="A149" s="21" t="n"/>
      <c r="B149" s="21" t="n"/>
      <c r="C149" s="21" t="n"/>
      <c r="D149" s="27" t="str">
        <f>IF(C149="","",IFERROR(VLOOKUP(C149,'Personnes'!$A$8:$Z$47,3,FALSE),""))</f>
        <v/>
      </c>
      <c r="E149" s="27" t="str">
        <f>IF(COUNTA(A149:C149,F149:R149)=0,"",IF(OR(A149="",B149="",C149="",COUNTIF(Projets,A149)&lt;&gt;1,COUNTIF(Personnes,C149)&lt;&gt;1),"Identité à corriger",IF(Calculs!T149&gt;0,"Charge à corriger",IF(Calculs!U149&gt;0,"Hors période", "OK"))))</f>
        <v/>
      </c>
      <c r="F149" s="22" t="n"/>
      <c r="G149" s="22" t="n"/>
      <c r="H149" s="22" t="n"/>
      <c r="I149" s="22" t="n"/>
      <c r="J149" s="22" t="n"/>
      <c r="K149" s="22" t="n"/>
      <c r="L149" s="22" t="n"/>
      <c r="M149" s="22" t="n"/>
      <c r="N149" s="22" t="n"/>
      <c r="O149" s="22" t="n"/>
      <c r="P149" s="22" t="n"/>
      <c r="Q149" s="22" t="n"/>
      <c r="R149" s="22" t="n"/>
      <c r="S149" s="21" t="n"/>
    </row>
    <row r="150" ht="28" customHeight="1">
      <c r="A150" s="21" t="n"/>
      <c r="B150" s="21" t="n"/>
      <c r="C150" s="21" t="n"/>
      <c r="D150" s="25" t="str">
        <f>IF(C150="","",IFERROR(VLOOKUP(C150,'Personnes'!$A$8:$Z$47,3,FALSE),""))</f>
        <v/>
      </c>
      <c r="E150" s="25" t="str">
        <f>IF(COUNTA(A150:C150,F150:R150)=0,"",IF(OR(A150="",B150="",C150="",COUNTIF(Projets,A150)&lt;&gt;1,COUNTIF(Personnes,C150)&lt;&gt;1),"Identité à corriger",IF(Calculs!T150&gt;0,"Charge à corriger",IF(Calculs!U150&gt;0,"Hors période", "OK"))))</f>
        <v/>
      </c>
      <c r="F150" s="22" t="n"/>
      <c r="G150" s="22" t="n"/>
      <c r="H150" s="22" t="n"/>
      <c r="I150" s="22" t="n"/>
      <c r="J150" s="22" t="n"/>
      <c r="K150" s="22" t="n"/>
      <c r="L150" s="22" t="n"/>
      <c r="M150" s="22" t="n"/>
      <c r="N150" s="22" t="n"/>
      <c r="O150" s="22" t="n"/>
      <c r="P150" s="22" t="n"/>
      <c r="Q150" s="22" t="n"/>
      <c r="R150" s="22" t="n"/>
      <c r="S150" s="21" t="n"/>
    </row>
    <row r="151" ht="28" customHeight="1">
      <c r="A151" s="21" t="n"/>
      <c r="B151" s="21" t="n"/>
      <c r="C151" s="21" t="n"/>
      <c r="D151" s="27" t="str">
        <f>IF(C151="","",IFERROR(VLOOKUP(C151,'Personnes'!$A$8:$Z$47,3,FALSE),""))</f>
        <v/>
      </c>
      <c r="E151" s="27" t="str">
        <f>IF(COUNTA(A151:C151,F151:R151)=0,"",IF(OR(A151="",B151="",C151="",COUNTIF(Projets,A151)&lt;&gt;1,COUNTIF(Personnes,C151)&lt;&gt;1),"Identité à corriger",IF(Calculs!T151&gt;0,"Charge à corriger",IF(Calculs!U151&gt;0,"Hors période", "OK"))))</f>
        <v/>
      </c>
      <c r="F151" s="22" t="n"/>
      <c r="G151" s="22" t="n"/>
      <c r="H151" s="22" t="n"/>
      <c r="I151" s="22" t="n"/>
      <c r="J151" s="22" t="n"/>
      <c r="K151" s="22" t="n"/>
      <c r="L151" s="22" t="n"/>
      <c r="M151" s="22" t="n"/>
      <c r="N151" s="22" t="n"/>
      <c r="O151" s="22" t="n"/>
      <c r="P151" s="22" t="n"/>
      <c r="Q151" s="22" t="n"/>
      <c r="R151" s="22" t="n"/>
      <c r="S151" s="21" t="n"/>
    </row>
    <row r="152" ht="28" customHeight="1">
      <c r="A152" s="21" t="n"/>
      <c r="B152" s="21" t="n"/>
      <c r="C152" s="21" t="n"/>
      <c r="D152" s="25" t="str">
        <f>IF(C152="","",IFERROR(VLOOKUP(C152,'Personnes'!$A$8:$Z$47,3,FALSE),""))</f>
        <v/>
      </c>
      <c r="E152" s="25" t="str">
        <f>IF(COUNTA(A152:C152,F152:R152)=0,"",IF(OR(A152="",B152="",C152="",COUNTIF(Projets,A152)&lt;&gt;1,COUNTIF(Personnes,C152)&lt;&gt;1),"Identité à corriger",IF(Calculs!T152&gt;0,"Charge à corriger",IF(Calculs!U152&gt;0,"Hors période", "OK"))))</f>
        <v/>
      </c>
      <c r="F152" s="22" t="n"/>
      <c r="G152" s="22" t="n"/>
      <c r="H152" s="22" t="n"/>
      <c r="I152" s="22" t="n"/>
      <c r="J152" s="22" t="n"/>
      <c r="K152" s="22" t="n"/>
      <c r="L152" s="22" t="n"/>
      <c r="M152" s="22" t="n"/>
      <c r="N152" s="22" t="n"/>
      <c r="O152" s="22" t="n"/>
      <c r="P152" s="22" t="n"/>
      <c r="Q152" s="22" t="n"/>
      <c r="R152" s="22" t="n"/>
      <c r="S152" s="21" t="n"/>
    </row>
    <row r="153" ht="28" customHeight="1">
      <c r="A153" s="21" t="n"/>
      <c r="B153" s="21" t="n"/>
      <c r="C153" s="21" t="n"/>
      <c r="D153" s="27" t="str">
        <f>IF(C153="","",IFERROR(VLOOKUP(C153,'Personnes'!$A$8:$Z$47,3,FALSE),""))</f>
        <v/>
      </c>
      <c r="E153" s="27" t="str">
        <f>IF(COUNTA(A153:C153,F153:R153)=0,"",IF(OR(A153="",B153="",C153="",COUNTIF(Projets,A153)&lt;&gt;1,COUNTIF(Personnes,C153)&lt;&gt;1),"Identité à corriger",IF(Calculs!T153&gt;0,"Charge à corriger",IF(Calculs!U153&gt;0,"Hors période", "OK"))))</f>
        <v/>
      </c>
      <c r="F153" s="22" t="n"/>
      <c r="G153" s="22" t="n"/>
      <c r="H153" s="22" t="n"/>
      <c r="I153" s="22" t="n"/>
      <c r="J153" s="22" t="n"/>
      <c r="K153" s="22" t="n"/>
      <c r="L153" s="22" t="n"/>
      <c r="M153" s="22" t="n"/>
      <c r="N153" s="22" t="n"/>
      <c r="O153" s="22" t="n"/>
      <c r="P153" s="22" t="n"/>
      <c r="Q153" s="22" t="n"/>
      <c r="R153" s="22" t="n"/>
      <c r="S153" s="21" t="n"/>
    </row>
    <row r="154" ht="28" customHeight="1">
      <c r="A154" s="21" t="n"/>
      <c r="B154" s="21" t="n"/>
      <c r="C154" s="21" t="n"/>
      <c r="D154" s="25" t="str">
        <f>IF(C154="","",IFERROR(VLOOKUP(C154,'Personnes'!$A$8:$Z$47,3,FALSE),""))</f>
        <v/>
      </c>
      <c r="E154" s="25" t="str">
        <f>IF(COUNTA(A154:C154,F154:R154)=0,"",IF(OR(A154="",B154="",C154="",COUNTIF(Projets,A154)&lt;&gt;1,COUNTIF(Personnes,C154)&lt;&gt;1),"Identité à corriger",IF(Calculs!T154&gt;0,"Charge à corriger",IF(Calculs!U154&gt;0,"Hors période", "OK"))))</f>
        <v/>
      </c>
      <c r="F154" s="22" t="n"/>
      <c r="G154" s="22" t="n"/>
      <c r="H154" s="22" t="n"/>
      <c r="I154" s="22" t="n"/>
      <c r="J154" s="22" t="n"/>
      <c r="K154" s="22" t="n"/>
      <c r="L154" s="22" t="n"/>
      <c r="M154" s="22" t="n"/>
      <c r="N154" s="22" t="n"/>
      <c r="O154" s="22" t="n"/>
      <c r="P154" s="22" t="n"/>
      <c r="Q154" s="22" t="n"/>
      <c r="R154" s="22" t="n"/>
      <c r="S154" s="21" t="n"/>
    </row>
    <row r="155" ht="28" customHeight="1">
      <c r="A155" s="21" t="n"/>
      <c r="B155" s="21" t="n"/>
      <c r="C155" s="21" t="n"/>
      <c r="D155" s="27" t="str">
        <f>IF(C155="","",IFERROR(VLOOKUP(C155,'Personnes'!$A$8:$Z$47,3,FALSE),""))</f>
        <v/>
      </c>
      <c r="E155" s="27" t="str">
        <f>IF(COUNTA(A155:C155,F155:R155)=0,"",IF(OR(A155="",B155="",C155="",COUNTIF(Projets,A155)&lt;&gt;1,COUNTIF(Personnes,C155)&lt;&gt;1),"Identité à corriger",IF(Calculs!T155&gt;0,"Charge à corriger",IF(Calculs!U155&gt;0,"Hors période", "OK"))))</f>
        <v/>
      </c>
      <c r="F155" s="22" t="n"/>
      <c r="G155" s="22" t="n"/>
      <c r="H155" s="22" t="n"/>
      <c r="I155" s="22" t="n"/>
      <c r="J155" s="22" t="n"/>
      <c r="K155" s="22" t="n"/>
      <c r="L155" s="22" t="n"/>
      <c r="M155" s="22" t="n"/>
      <c r="N155" s="22" t="n"/>
      <c r="O155" s="22" t="n"/>
      <c r="P155" s="22" t="n"/>
      <c r="Q155" s="22" t="n"/>
      <c r="R155" s="22" t="n"/>
      <c r="S155" s="21" t="n"/>
    </row>
    <row r="156" ht="28" customHeight="1">
      <c r="A156" s="21" t="n"/>
      <c r="B156" s="21" t="n"/>
      <c r="C156" s="21" t="n"/>
      <c r="D156" s="25" t="str">
        <f>IF(C156="","",IFERROR(VLOOKUP(C156,'Personnes'!$A$8:$Z$47,3,FALSE),""))</f>
        <v/>
      </c>
      <c r="E156" s="25" t="str">
        <f>IF(COUNTA(A156:C156,F156:R156)=0,"",IF(OR(A156="",B156="",C156="",COUNTIF(Projets,A156)&lt;&gt;1,COUNTIF(Personnes,C156)&lt;&gt;1),"Identité à corriger",IF(Calculs!T156&gt;0,"Charge à corriger",IF(Calculs!U156&gt;0,"Hors période", "OK"))))</f>
        <v/>
      </c>
      <c r="F156" s="22" t="n"/>
      <c r="G156" s="22" t="n"/>
      <c r="H156" s="22" t="n"/>
      <c r="I156" s="22" t="n"/>
      <c r="J156" s="22" t="n"/>
      <c r="K156" s="22" t="n"/>
      <c r="L156" s="22" t="n"/>
      <c r="M156" s="22" t="n"/>
      <c r="N156" s="22" t="n"/>
      <c r="O156" s="22" t="n"/>
      <c r="P156" s="22" t="n"/>
      <c r="Q156" s="22" t="n"/>
      <c r="R156" s="22" t="n"/>
      <c r="S156" s="21" t="n"/>
    </row>
    <row r="157" ht="28" customHeight="1">
      <c r="A157" s="21" t="n"/>
      <c r="B157" s="21" t="n"/>
      <c r="C157" s="21" t="n"/>
      <c r="D157" s="27" t="str">
        <f>IF(C157="","",IFERROR(VLOOKUP(C157,'Personnes'!$A$8:$Z$47,3,FALSE),""))</f>
        <v/>
      </c>
      <c r="E157" s="27" t="str">
        <f>IF(COUNTA(A157:C157,F157:R157)=0,"",IF(OR(A157="",B157="",C157="",COUNTIF(Projets,A157)&lt;&gt;1,COUNTIF(Personnes,C157)&lt;&gt;1),"Identité à corriger",IF(Calculs!T157&gt;0,"Charge à corriger",IF(Calculs!U157&gt;0,"Hors période", "OK"))))</f>
        <v/>
      </c>
      <c r="F157" s="22" t="n"/>
      <c r="G157" s="22" t="n"/>
      <c r="H157" s="22" t="n"/>
      <c r="I157" s="22" t="n"/>
      <c r="J157" s="22" t="n"/>
      <c r="K157" s="22" t="n"/>
      <c r="L157" s="22" t="n"/>
      <c r="M157" s="22" t="n"/>
      <c r="N157" s="22" t="n"/>
      <c r="O157" s="22" t="n"/>
      <c r="P157" s="22" t="n"/>
      <c r="Q157" s="22" t="n"/>
      <c r="R157" s="22" t="n"/>
      <c r="S157" s="21" t="n"/>
    </row>
    <row r="158" ht="28" customHeight="1">
      <c r="A158" s="21" t="n"/>
      <c r="B158" s="21" t="n"/>
      <c r="C158" s="21" t="n"/>
      <c r="D158" s="25" t="str">
        <f>IF(C158="","",IFERROR(VLOOKUP(C158,'Personnes'!$A$8:$Z$47,3,FALSE),""))</f>
        <v/>
      </c>
      <c r="E158" s="25" t="str">
        <f>IF(COUNTA(A158:C158,F158:R158)=0,"",IF(OR(A158="",B158="",C158="",COUNTIF(Projets,A158)&lt;&gt;1,COUNTIF(Personnes,C158)&lt;&gt;1),"Identité à corriger",IF(Calculs!T158&gt;0,"Charge à corriger",IF(Calculs!U158&gt;0,"Hors période", "OK"))))</f>
        <v/>
      </c>
      <c r="F158" s="22" t="n"/>
      <c r="G158" s="22" t="n"/>
      <c r="H158" s="22" t="n"/>
      <c r="I158" s="22" t="n"/>
      <c r="J158" s="22" t="n"/>
      <c r="K158" s="22" t="n"/>
      <c r="L158" s="22" t="n"/>
      <c r="M158" s="22" t="n"/>
      <c r="N158" s="22" t="n"/>
      <c r="O158" s="22" t="n"/>
      <c r="P158" s="22" t="n"/>
      <c r="Q158" s="22" t="n"/>
      <c r="R158" s="22" t="n"/>
      <c r="S158" s="21" t="n"/>
    </row>
    <row r="159" ht="28" customHeight="1">
      <c r="A159" s="21" t="n"/>
      <c r="B159" s="21" t="n"/>
      <c r="C159" s="21" t="n"/>
      <c r="D159" s="27" t="str">
        <f>IF(C159="","",IFERROR(VLOOKUP(C159,'Personnes'!$A$8:$Z$47,3,FALSE),""))</f>
        <v/>
      </c>
      <c r="E159" s="27" t="str">
        <f>IF(COUNTA(A159:C159,F159:R159)=0,"",IF(OR(A159="",B159="",C159="",COUNTIF(Projets,A159)&lt;&gt;1,COUNTIF(Personnes,C159)&lt;&gt;1),"Identité à corriger",IF(Calculs!T159&gt;0,"Charge à corriger",IF(Calculs!U159&gt;0,"Hors période", "OK"))))</f>
        <v/>
      </c>
      <c r="F159" s="22" t="n"/>
      <c r="G159" s="22" t="n"/>
      <c r="H159" s="22" t="n"/>
      <c r="I159" s="22" t="n"/>
      <c r="J159" s="22" t="n"/>
      <c r="K159" s="22" t="n"/>
      <c r="L159" s="22" t="n"/>
      <c r="M159" s="22" t="n"/>
      <c r="N159" s="22" t="n"/>
      <c r="O159" s="22" t="n"/>
      <c r="P159" s="22" t="n"/>
      <c r="Q159" s="22" t="n"/>
      <c r="R159" s="22" t="n"/>
      <c r="S159" s="21" t="n"/>
    </row>
    <row r="160" ht="28" customHeight="1">
      <c r="A160" s="21" t="n"/>
      <c r="B160" s="21" t="n"/>
      <c r="C160" s="21" t="n"/>
      <c r="D160" s="25" t="str">
        <f>IF(C160="","",IFERROR(VLOOKUP(C160,'Personnes'!$A$8:$Z$47,3,FALSE),""))</f>
        <v/>
      </c>
      <c r="E160" s="25" t="str">
        <f>IF(COUNTA(A160:C160,F160:R160)=0,"",IF(OR(A160="",B160="",C160="",COUNTIF(Projets,A160)&lt;&gt;1,COUNTIF(Personnes,C160)&lt;&gt;1),"Identité à corriger",IF(Calculs!T160&gt;0,"Charge à corriger",IF(Calculs!U160&gt;0,"Hors période", "OK"))))</f>
        <v/>
      </c>
      <c r="F160" s="22" t="n"/>
      <c r="G160" s="22" t="n"/>
      <c r="H160" s="22" t="n"/>
      <c r="I160" s="22" t="n"/>
      <c r="J160" s="22" t="n"/>
      <c r="K160" s="22" t="n"/>
      <c r="L160" s="22" t="n"/>
      <c r="M160" s="22" t="n"/>
      <c r="N160" s="22" t="n"/>
      <c r="O160" s="22" t="n"/>
      <c r="P160" s="22" t="n"/>
      <c r="Q160" s="22" t="n"/>
      <c r="R160" s="22" t="n"/>
      <c r="S160" s="21" t="n"/>
    </row>
    <row r="161" ht="28" customHeight="1">
      <c r="A161" s="21" t="n"/>
      <c r="B161" s="21" t="n"/>
      <c r="C161" s="21" t="n"/>
      <c r="D161" s="27" t="str">
        <f>IF(C161="","",IFERROR(VLOOKUP(C161,'Personnes'!$A$8:$Z$47,3,FALSE),""))</f>
        <v/>
      </c>
      <c r="E161" s="27" t="str">
        <f>IF(COUNTA(A161:C161,F161:R161)=0,"",IF(OR(A161="",B161="",C161="",COUNTIF(Projets,A161)&lt;&gt;1,COUNTIF(Personnes,C161)&lt;&gt;1),"Identité à corriger",IF(Calculs!T161&gt;0,"Charge à corriger",IF(Calculs!U161&gt;0,"Hors période", "OK"))))</f>
        <v/>
      </c>
      <c r="F161" s="22" t="n"/>
      <c r="G161" s="22" t="n"/>
      <c r="H161" s="22" t="n"/>
      <c r="I161" s="22" t="n"/>
      <c r="J161" s="22" t="n"/>
      <c r="K161" s="22" t="n"/>
      <c r="L161" s="22" t="n"/>
      <c r="M161" s="22" t="n"/>
      <c r="N161" s="22" t="n"/>
      <c r="O161" s="22" t="n"/>
      <c r="P161" s="22" t="n"/>
      <c r="Q161" s="22" t="n"/>
      <c r="R161" s="22" t="n"/>
      <c r="S161" s="21" t="n"/>
    </row>
    <row r="162" ht="28" customHeight="1">
      <c r="A162" s="21" t="n"/>
      <c r="B162" s="21" t="n"/>
      <c r="C162" s="21" t="n"/>
      <c r="D162" s="25" t="str">
        <f>IF(C162="","",IFERROR(VLOOKUP(C162,'Personnes'!$A$8:$Z$47,3,FALSE),""))</f>
        <v/>
      </c>
      <c r="E162" s="25" t="str">
        <f>IF(COUNTA(A162:C162,F162:R162)=0,"",IF(OR(A162="",B162="",C162="",COUNTIF(Projets,A162)&lt;&gt;1,COUNTIF(Personnes,C162)&lt;&gt;1),"Identité à corriger",IF(Calculs!T162&gt;0,"Charge à corriger",IF(Calculs!U162&gt;0,"Hors période", "OK"))))</f>
        <v/>
      </c>
      <c r="F162" s="22" t="n"/>
      <c r="G162" s="22" t="n"/>
      <c r="H162" s="22" t="n"/>
      <c r="I162" s="22" t="n"/>
      <c r="J162" s="22" t="n"/>
      <c r="K162" s="22" t="n"/>
      <c r="L162" s="22" t="n"/>
      <c r="M162" s="22" t="n"/>
      <c r="N162" s="22" t="n"/>
      <c r="O162" s="22" t="n"/>
      <c r="P162" s="22" t="n"/>
      <c r="Q162" s="22" t="n"/>
      <c r="R162" s="22" t="n"/>
      <c r="S162" s="21" t="n"/>
    </row>
    <row r="163" ht="28" customHeight="1">
      <c r="A163" s="21" t="n"/>
      <c r="B163" s="21" t="n"/>
      <c r="C163" s="21" t="n"/>
      <c r="D163" s="27" t="str">
        <f>IF(C163="","",IFERROR(VLOOKUP(C163,'Personnes'!$A$8:$Z$47,3,FALSE),""))</f>
        <v/>
      </c>
      <c r="E163" s="27" t="str">
        <f>IF(COUNTA(A163:C163,F163:R163)=0,"",IF(OR(A163="",B163="",C163="",COUNTIF(Projets,A163)&lt;&gt;1,COUNTIF(Personnes,C163)&lt;&gt;1),"Identité à corriger",IF(Calculs!T163&gt;0,"Charge à corriger",IF(Calculs!U163&gt;0,"Hors période", "OK"))))</f>
        <v/>
      </c>
      <c r="F163" s="22" t="n"/>
      <c r="G163" s="22" t="n"/>
      <c r="H163" s="22" t="n"/>
      <c r="I163" s="22" t="n"/>
      <c r="J163" s="22" t="n"/>
      <c r="K163" s="22" t="n"/>
      <c r="L163" s="22" t="n"/>
      <c r="M163" s="22" t="n"/>
      <c r="N163" s="22" t="n"/>
      <c r="O163" s="22" t="n"/>
      <c r="P163" s="22" t="n"/>
      <c r="Q163" s="22" t="n"/>
      <c r="R163" s="22" t="n"/>
      <c r="S163" s="21" t="n"/>
    </row>
    <row r="164" ht="28" customHeight="1">
      <c r="A164" s="21" t="n"/>
      <c r="B164" s="21" t="n"/>
      <c r="C164" s="21" t="n"/>
      <c r="D164" s="25" t="str">
        <f>IF(C164="","",IFERROR(VLOOKUP(C164,'Personnes'!$A$8:$Z$47,3,FALSE),""))</f>
        <v/>
      </c>
      <c r="E164" s="25" t="str">
        <f>IF(COUNTA(A164:C164,F164:R164)=0,"",IF(OR(A164="",B164="",C164="",COUNTIF(Projets,A164)&lt;&gt;1,COUNTIF(Personnes,C164)&lt;&gt;1),"Identité à corriger",IF(Calculs!T164&gt;0,"Charge à corriger",IF(Calculs!U164&gt;0,"Hors période", "OK"))))</f>
        <v/>
      </c>
      <c r="F164" s="22" t="n"/>
      <c r="G164" s="22" t="n"/>
      <c r="H164" s="22" t="n"/>
      <c r="I164" s="22" t="n"/>
      <c r="J164" s="22" t="n"/>
      <c r="K164" s="22" t="n"/>
      <c r="L164" s="22" t="n"/>
      <c r="M164" s="22" t="n"/>
      <c r="N164" s="22" t="n"/>
      <c r="O164" s="22" t="n"/>
      <c r="P164" s="22" t="n"/>
      <c r="Q164" s="22" t="n"/>
      <c r="R164" s="22" t="n"/>
      <c r="S164" s="21" t="n"/>
    </row>
    <row r="165" ht="28" customHeight="1">
      <c r="A165" s="21" t="n"/>
      <c r="B165" s="21" t="n"/>
      <c r="C165" s="21" t="n"/>
      <c r="D165" s="27" t="str">
        <f>IF(C165="","",IFERROR(VLOOKUP(C165,'Personnes'!$A$8:$Z$47,3,FALSE),""))</f>
        <v/>
      </c>
      <c r="E165" s="27" t="str">
        <f>IF(COUNTA(A165:C165,F165:R165)=0,"",IF(OR(A165="",B165="",C165="",COUNTIF(Projets,A165)&lt;&gt;1,COUNTIF(Personnes,C165)&lt;&gt;1),"Identité à corriger",IF(Calculs!T165&gt;0,"Charge à corriger",IF(Calculs!U165&gt;0,"Hors période", "OK"))))</f>
        <v/>
      </c>
      <c r="F165" s="22" t="n"/>
      <c r="G165" s="22" t="n"/>
      <c r="H165" s="22" t="n"/>
      <c r="I165" s="22" t="n"/>
      <c r="J165" s="22" t="n"/>
      <c r="K165" s="22" t="n"/>
      <c r="L165" s="22" t="n"/>
      <c r="M165" s="22" t="n"/>
      <c r="N165" s="22" t="n"/>
      <c r="O165" s="22" t="n"/>
      <c r="P165" s="22" t="n"/>
      <c r="Q165" s="22" t="n"/>
      <c r="R165" s="22" t="n"/>
      <c r="S165" s="21" t="n"/>
    </row>
    <row r="166" ht="28" customHeight="1">
      <c r="A166" s="21" t="n"/>
      <c r="B166" s="21" t="n"/>
      <c r="C166" s="21" t="n"/>
      <c r="D166" s="25" t="str">
        <f>IF(C166="","",IFERROR(VLOOKUP(C166,'Personnes'!$A$8:$Z$47,3,FALSE),""))</f>
        <v/>
      </c>
      <c r="E166" s="25" t="str">
        <f>IF(COUNTA(A166:C166,F166:R166)=0,"",IF(OR(A166="",B166="",C166="",COUNTIF(Projets,A166)&lt;&gt;1,COUNTIF(Personnes,C166)&lt;&gt;1),"Identité à corriger",IF(Calculs!T166&gt;0,"Charge à corriger",IF(Calculs!U166&gt;0,"Hors période", "OK"))))</f>
        <v/>
      </c>
      <c r="F166" s="22" t="n"/>
      <c r="G166" s="22" t="n"/>
      <c r="H166" s="22" t="n"/>
      <c r="I166" s="22" t="n"/>
      <c r="J166" s="22" t="n"/>
      <c r="K166" s="22" t="n"/>
      <c r="L166" s="22" t="n"/>
      <c r="M166" s="22" t="n"/>
      <c r="N166" s="22" t="n"/>
      <c r="O166" s="22" t="n"/>
      <c r="P166" s="22" t="n"/>
      <c r="Q166" s="22" t="n"/>
      <c r="R166" s="22" t="n"/>
      <c r="S166" s="21" t="n"/>
    </row>
    <row r="167" ht="28" customHeight="1">
      <c r="A167" s="21" t="n"/>
      <c r="B167" s="21" t="n"/>
      <c r="C167" s="21" t="n"/>
      <c r="D167" s="27" t="str">
        <f>IF(C167="","",IFERROR(VLOOKUP(C167,'Personnes'!$A$8:$Z$47,3,FALSE),""))</f>
        <v/>
      </c>
      <c r="E167" s="27" t="str">
        <f>IF(COUNTA(A167:C167,F167:R167)=0,"",IF(OR(A167="",B167="",C167="",COUNTIF(Projets,A167)&lt;&gt;1,COUNTIF(Personnes,C167)&lt;&gt;1),"Identité à corriger",IF(Calculs!T167&gt;0,"Charge à corriger",IF(Calculs!U167&gt;0,"Hors période", "OK"))))</f>
        <v/>
      </c>
      <c r="F167" s="22" t="n"/>
      <c r="G167" s="22" t="n"/>
      <c r="H167" s="22" t="n"/>
      <c r="I167" s="22" t="n"/>
      <c r="J167" s="22" t="n"/>
      <c r="K167" s="22" t="n"/>
      <c r="L167" s="22" t="n"/>
      <c r="M167" s="22" t="n"/>
      <c r="N167" s="22" t="n"/>
      <c r="O167" s="22" t="n"/>
      <c r="P167" s="22" t="n"/>
      <c r="Q167" s="22" t="n"/>
      <c r="R167" s="22" t="n"/>
      <c r="S167" s="21" t="n"/>
    </row>
    <row r="168" ht="28" customHeight="1">
      <c r="A168" s="21" t="n"/>
      <c r="B168" s="21" t="n"/>
      <c r="C168" s="21" t="n"/>
      <c r="D168" s="25" t="str">
        <f>IF(C168="","",IFERROR(VLOOKUP(C168,'Personnes'!$A$8:$Z$47,3,FALSE),""))</f>
        <v/>
      </c>
      <c r="E168" s="25" t="str">
        <f>IF(COUNTA(A168:C168,F168:R168)=0,"",IF(OR(A168="",B168="",C168="",COUNTIF(Projets,A168)&lt;&gt;1,COUNTIF(Personnes,C168)&lt;&gt;1),"Identité à corriger",IF(Calculs!T168&gt;0,"Charge à corriger",IF(Calculs!U168&gt;0,"Hors période", "OK"))))</f>
        <v/>
      </c>
      <c r="F168" s="22" t="n"/>
      <c r="G168" s="22" t="n"/>
      <c r="H168" s="22" t="n"/>
      <c r="I168" s="22" t="n"/>
      <c r="J168" s="22" t="n"/>
      <c r="K168" s="22" t="n"/>
      <c r="L168" s="22" t="n"/>
      <c r="M168" s="22" t="n"/>
      <c r="N168" s="22" t="n"/>
      <c r="O168" s="22" t="n"/>
      <c r="P168" s="22" t="n"/>
      <c r="Q168" s="22" t="n"/>
      <c r="R168" s="22" t="n"/>
      <c r="S168" s="21" t="n"/>
    </row>
    <row r="169" ht="28" customHeight="1">
      <c r="A169" s="21" t="n"/>
      <c r="B169" s="21" t="n"/>
      <c r="C169" s="21" t="n"/>
      <c r="D169" s="27" t="str">
        <f>IF(C169="","",IFERROR(VLOOKUP(C169,'Personnes'!$A$8:$Z$47,3,FALSE),""))</f>
        <v/>
      </c>
      <c r="E169" s="27" t="str">
        <f>IF(COUNTA(A169:C169,F169:R169)=0,"",IF(OR(A169="",B169="",C169="",COUNTIF(Projets,A169)&lt;&gt;1,COUNTIF(Personnes,C169)&lt;&gt;1),"Identité à corriger",IF(Calculs!T169&gt;0,"Charge à corriger",IF(Calculs!U169&gt;0,"Hors période", "OK"))))</f>
        <v/>
      </c>
      <c r="F169" s="22" t="n"/>
      <c r="G169" s="22" t="n"/>
      <c r="H169" s="22" t="n"/>
      <c r="I169" s="22" t="n"/>
      <c r="J169" s="22" t="n"/>
      <c r="K169" s="22" t="n"/>
      <c r="L169" s="22" t="n"/>
      <c r="M169" s="22" t="n"/>
      <c r="N169" s="22" t="n"/>
      <c r="O169" s="22" t="n"/>
      <c r="P169" s="22" t="n"/>
      <c r="Q169" s="22" t="n"/>
      <c r="R169" s="22" t="n"/>
      <c r="S169" s="21" t="n"/>
    </row>
    <row r="170" ht="28" customHeight="1">
      <c r="A170" s="21" t="n"/>
      <c r="B170" s="21" t="n"/>
      <c r="C170" s="21" t="n"/>
      <c r="D170" s="25" t="str">
        <f>IF(C170="","",IFERROR(VLOOKUP(C170,'Personnes'!$A$8:$Z$47,3,FALSE),""))</f>
        <v/>
      </c>
      <c r="E170" s="25" t="str">
        <f>IF(COUNTA(A170:C170,F170:R170)=0,"",IF(OR(A170="",B170="",C170="",COUNTIF(Projets,A170)&lt;&gt;1,COUNTIF(Personnes,C170)&lt;&gt;1),"Identité à corriger",IF(Calculs!T170&gt;0,"Charge à corriger",IF(Calculs!U170&gt;0,"Hors période", "OK"))))</f>
        <v/>
      </c>
      <c r="F170" s="22" t="n"/>
      <c r="G170" s="22" t="n"/>
      <c r="H170" s="22" t="n"/>
      <c r="I170" s="22" t="n"/>
      <c r="J170" s="22" t="n"/>
      <c r="K170" s="22" t="n"/>
      <c r="L170" s="22" t="n"/>
      <c r="M170" s="22" t="n"/>
      <c r="N170" s="22" t="n"/>
      <c r="O170" s="22" t="n"/>
      <c r="P170" s="22" t="n"/>
      <c r="Q170" s="22" t="n"/>
      <c r="R170" s="22" t="n"/>
      <c r="S170" s="21" t="n"/>
    </row>
    <row r="171" ht="28" customHeight="1">
      <c r="A171" s="21" t="n"/>
      <c r="B171" s="21" t="n"/>
      <c r="C171" s="21" t="n"/>
      <c r="D171" s="27" t="str">
        <f>IF(C171="","",IFERROR(VLOOKUP(C171,'Personnes'!$A$8:$Z$47,3,FALSE),""))</f>
        <v/>
      </c>
      <c r="E171" s="27" t="str">
        <f>IF(COUNTA(A171:C171,F171:R171)=0,"",IF(OR(A171="",B171="",C171="",COUNTIF(Projets,A171)&lt;&gt;1,COUNTIF(Personnes,C171)&lt;&gt;1),"Identité à corriger",IF(Calculs!T171&gt;0,"Charge à corriger",IF(Calculs!U171&gt;0,"Hors période", "OK"))))</f>
        <v/>
      </c>
      <c r="F171" s="22" t="n"/>
      <c r="G171" s="22" t="n"/>
      <c r="H171" s="22" t="n"/>
      <c r="I171" s="22" t="n"/>
      <c r="J171" s="22" t="n"/>
      <c r="K171" s="22" t="n"/>
      <c r="L171" s="22" t="n"/>
      <c r="M171" s="22" t="n"/>
      <c r="N171" s="22" t="n"/>
      <c r="O171" s="22" t="n"/>
      <c r="P171" s="22" t="n"/>
      <c r="Q171" s="22" t="n"/>
      <c r="R171" s="22" t="n"/>
      <c r="S171" s="21" t="n"/>
    </row>
    <row r="172" ht="28" customHeight="1">
      <c r="A172" s="21" t="n"/>
      <c r="B172" s="21" t="n"/>
      <c r="C172" s="21" t="n"/>
      <c r="D172" s="25" t="str">
        <f>IF(C172="","",IFERROR(VLOOKUP(C172,'Personnes'!$A$8:$Z$47,3,FALSE),""))</f>
        <v/>
      </c>
      <c r="E172" s="25" t="str">
        <f>IF(COUNTA(A172:C172,F172:R172)=0,"",IF(OR(A172="",B172="",C172="",COUNTIF(Projets,A172)&lt;&gt;1,COUNTIF(Personnes,C172)&lt;&gt;1),"Identité à corriger",IF(Calculs!T172&gt;0,"Charge à corriger",IF(Calculs!U172&gt;0,"Hors période", "OK"))))</f>
        <v/>
      </c>
      <c r="F172" s="22" t="n"/>
      <c r="G172" s="22" t="n"/>
      <c r="H172" s="22" t="n"/>
      <c r="I172" s="22" t="n"/>
      <c r="J172" s="22" t="n"/>
      <c r="K172" s="22" t="n"/>
      <c r="L172" s="22" t="n"/>
      <c r="M172" s="22" t="n"/>
      <c r="N172" s="22" t="n"/>
      <c r="O172" s="22" t="n"/>
      <c r="P172" s="22" t="n"/>
      <c r="Q172" s="22" t="n"/>
      <c r="R172" s="22" t="n"/>
      <c r="S172" s="21" t="n"/>
    </row>
    <row r="173" ht="28" customHeight="1">
      <c r="A173" s="21" t="n"/>
      <c r="B173" s="21" t="n"/>
      <c r="C173" s="21" t="n"/>
      <c r="D173" s="27" t="str">
        <f>IF(C173="","",IFERROR(VLOOKUP(C173,'Personnes'!$A$8:$Z$47,3,FALSE),""))</f>
        <v/>
      </c>
      <c r="E173" s="27" t="str">
        <f>IF(COUNTA(A173:C173,F173:R173)=0,"",IF(OR(A173="",B173="",C173="",COUNTIF(Projets,A173)&lt;&gt;1,COUNTIF(Personnes,C173)&lt;&gt;1),"Identité à corriger",IF(Calculs!T173&gt;0,"Charge à corriger",IF(Calculs!U173&gt;0,"Hors période", "OK"))))</f>
        <v/>
      </c>
      <c r="F173" s="22" t="n"/>
      <c r="G173" s="22" t="n"/>
      <c r="H173" s="22" t="n"/>
      <c r="I173" s="22" t="n"/>
      <c r="J173" s="22" t="n"/>
      <c r="K173" s="22" t="n"/>
      <c r="L173" s="22" t="n"/>
      <c r="M173" s="22" t="n"/>
      <c r="N173" s="22" t="n"/>
      <c r="O173" s="22" t="n"/>
      <c r="P173" s="22" t="n"/>
      <c r="Q173" s="22" t="n"/>
      <c r="R173" s="22" t="n"/>
      <c r="S173" s="21" t="n"/>
    </row>
    <row r="174" ht="28" customHeight="1">
      <c r="A174" s="21" t="n"/>
      <c r="B174" s="21" t="n"/>
      <c r="C174" s="21" t="n"/>
      <c r="D174" s="25" t="str">
        <f>IF(C174="","",IFERROR(VLOOKUP(C174,'Personnes'!$A$8:$Z$47,3,FALSE),""))</f>
        <v/>
      </c>
      <c r="E174" s="25" t="str">
        <f>IF(COUNTA(A174:C174,F174:R174)=0,"",IF(OR(A174="",B174="",C174="",COUNTIF(Projets,A174)&lt;&gt;1,COUNTIF(Personnes,C174)&lt;&gt;1),"Identité à corriger",IF(Calculs!T174&gt;0,"Charge à corriger",IF(Calculs!U174&gt;0,"Hors période", "OK"))))</f>
        <v/>
      </c>
      <c r="F174" s="22" t="n"/>
      <c r="G174" s="22" t="n"/>
      <c r="H174" s="22" t="n"/>
      <c r="I174" s="22" t="n"/>
      <c r="J174" s="22" t="n"/>
      <c r="K174" s="22" t="n"/>
      <c r="L174" s="22" t="n"/>
      <c r="M174" s="22" t="n"/>
      <c r="N174" s="22" t="n"/>
      <c r="O174" s="22" t="n"/>
      <c r="P174" s="22" t="n"/>
      <c r="Q174" s="22" t="n"/>
      <c r="R174" s="22" t="n"/>
      <c r="S174" s="21" t="n"/>
    </row>
    <row r="175" ht="28" customHeight="1">
      <c r="A175" s="21" t="n"/>
      <c r="B175" s="21" t="n"/>
      <c r="C175" s="21" t="n"/>
      <c r="D175" s="27" t="str">
        <f>IF(C175="","",IFERROR(VLOOKUP(C175,'Personnes'!$A$8:$Z$47,3,FALSE),""))</f>
        <v/>
      </c>
      <c r="E175" s="27" t="str">
        <f>IF(COUNTA(A175:C175,F175:R175)=0,"",IF(OR(A175="",B175="",C175="",COUNTIF(Projets,A175)&lt;&gt;1,COUNTIF(Personnes,C175)&lt;&gt;1),"Identité à corriger",IF(Calculs!T175&gt;0,"Charge à corriger",IF(Calculs!U175&gt;0,"Hors période", "OK"))))</f>
        <v/>
      </c>
      <c r="F175" s="22" t="n"/>
      <c r="G175" s="22" t="n"/>
      <c r="H175" s="22" t="n"/>
      <c r="I175" s="22" t="n"/>
      <c r="J175" s="22" t="n"/>
      <c r="K175" s="22" t="n"/>
      <c r="L175" s="22" t="n"/>
      <c r="M175" s="22" t="n"/>
      <c r="N175" s="22" t="n"/>
      <c r="O175" s="22" t="n"/>
      <c r="P175" s="22" t="n"/>
      <c r="Q175" s="22" t="n"/>
      <c r="R175" s="22" t="n"/>
      <c r="S175" s="21" t="n"/>
    </row>
    <row r="176" ht="28" customHeight="1">
      <c r="A176" s="21" t="n"/>
      <c r="B176" s="21" t="n"/>
      <c r="C176" s="21" t="n"/>
      <c r="D176" s="25" t="str">
        <f>IF(C176="","",IFERROR(VLOOKUP(C176,'Personnes'!$A$8:$Z$47,3,FALSE),""))</f>
        <v/>
      </c>
      <c r="E176" s="25" t="str">
        <f>IF(COUNTA(A176:C176,F176:R176)=0,"",IF(OR(A176="",B176="",C176="",COUNTIF(Projets,A176)&lt;&gt;1,COUNTIF(Personnes,C176)&lt;&gt;1),"Identité à corriger",IF(Calculs!T176&gt;0,"Charge à corriger",IF(Calculs!U176&gt;0,"Hors période", "OK"))))</f>
        <v/>
      </c>
      <c r="F176" s="22" t="n"/>
      <c r="G176" s="22" t="n"/>
      <c r="H176" s="22" t="n"/>
      <c r="I176" s="22" t="n"/>
      <c r="J176" s="22" t="n"/>
      <c r="K176" s="22" t="n"/>
      <c r="L176" s="22" t="n"/>
      <c r="M176" s="22" t="n"/>
      <c r="N176" s="22" t="n"/>
      <c r="O176" s="22" t="n"/>
      <c r="P176" s="22" t="n"/>
      <c r="Q176" s="22" t="n"/>
      <c r="R176" s="22" t="n"/>
      <c r="S176" s="21" t="n"/>
    </row>
    <row r="177" ht="28" customHeight="1">
      <c r="A177" s="21" t="n"/>
      <c r="B177" s="21" t="n"/>
      <c r="C177" s="21" t="n"/>
      <c r="D177" s="27" t="str">
        <f>IF(C177="","",IFERROR(VLOOKUP(C177,'Personnes'!$A$8:$Z$47,3,FALSE),""))</f>
        <v/>
      </c>
      <c r="E177" s="27" t="str">
        <f>IF(COUNTA(A177:C177,F177:R177)=0,"",IF(OR(A177="",B177="",C177="",COUNTIF(Projets,A177)&lt;&gt;1,COUNTIF(Personnes,C177)&lt;&gt;1),"Identité à corriger",IF(Calculs!T177&gt;0,"Charge à corriger",IF(Calculs!U177&gt;0,"Hors période", "OK"))))</f>
        <v/>
      </c>
      <c r="F177" s="22" t="n"/>
      <c r="G177" s="22" t="n"/>
      <c r="H177" s="22" t="n"/>
      <c r="I177" s="22" t="n"/>
      <c r="J177" s="22" t="n"/>
      <c r="K177" s="22" t="n"/>
      <c r="L177" s="22" t="n"/>
      <c r="M177" s="22" t="n"/>
      <c r="N177" s="22" t="n"/>
      <c r="O177" s="22" t="n"/>
      <c r="P177" s="22" t="n"/>
      <c r="Q177" s="22" t="n"/>
      <c r="R177" s="22" t="n"/>
      <c r="S177" s="21" t="n"/>
    </row>
    <row r="178" ht="28" customHeight="1">
      <c r="A178" s="21" t="n"/>
      <c r="B178" s="21" t="n"/>
      <c r="C178" s="21" t="n"/>
      <c r="D178" s="25" t="str">
        <f>IF(C178="","",IFERROR(VLOOKUP(C178,'Personnes'!$A$8:$Z$47,3,FALSE),""))</f>
        <v/>
      </c>
      <c r="E178" s="25" t="str">
        <f>IF(COUNTA(A178:C178,F178:R178)=0,"",IF(OR(A178="",B178="",C178="",COUNTIF(Projets,A178)&lt;&gt;1,COUNTIF(Personnes,C178)&lt;&gt;1),"Identité à corriger",IF(Calculs!T178&gt;0,"Charge à corriger",IF(Calculs!U178&gt;0,"Hors période", "OK"))))</f>
        <v/>
      </c>
      <c r="F178" s="22" t="n"/>
      <c r="G178" s="22" t="n"/>
      <c r="H178" s="22" t="n"/>
      <c r="I178" s="22" t="n"/>
      <c r="J178" s="22" t="n"/>
      <c r="K178" s="22" t="n"/>
      <c r="L178" s="22" t="n"/>
      <c r="M178" s="22" t="n"/>
      <c r="N178" s="22" t="n"/>
      <c r="O178" s="22" t="n"/>
      <c r="P178" s="22" t="n"/>
      <c r="Q178" s="22" t="n"/>
      <c r="R178" s="22" t="n"/>
      <c r="S178" s="21" t="n"/>
    </row>
    <row r="179" ht="28" customHeight="1">
      <c r="A179" s="21" t="n"/>
      <c r="B179" s="21" t="n"/>
      <c r="C179" s="21" t="n"/>
      <c r="D179" s="27" t="str">
        <f>IF(C179="","",IFERROR(VLOOKUP(C179,'Personnes'!$A$8:$Z$47,3,FALSE),""))</f>
        <v/>
      </c>
      <c r="E179" s="27" t="str">
        <f>IF(COUNTA(A179:C179,F179:R179)=0,"",IF(OR(A179="",B179="",C179="",COUNTIF(Projets,A179)&lt;&gt;1,COUNTIF(Personnes,C179)&lt;&gt;1),"Identité à corriger",IF(Calculs!T179&gt;0,"Charge à corriger",IF(Calculs!U179&gt;0,"Hors période", "OK"))))</f>
        <v/>
      </c>
      <c r="F179" s="22" t="n"/>
      <c r="G179" s="22" t="n"/>
      <c r="H179" s="22" t="n"/>
      <c r="I179" s="22" t="n"/>
      <c r="J179" s="22" t="n"/>
      <c r="K179" s="22" t="n"/>
      <c r="L179" s="22" t="n"/>
      <c r="M179" s="22" t="n"/>
      <c r="N179" s="22" t="n"/>
      <c r="O179" s="22" t="n"/>
      <c r="P179" s="22" t="n"/>
      <c r="Q179" s="22" t="n"/>
      <c r="R179" s="22" t="n"/>
      <c r="S179" s="21" t="n"/>
    </row>
    <row r="180" ht="28" customHeight="1">
      <c r="A180" s="21" t="n"/>
      <c r="B180" s="21" t="n"/>
      <c r="C180" s="21" t="n"/>
      <c r="D180" s="25" t="str">
        <f>IF(C180="","",IFERROR(VLOOKUP(C180,'Personnes'!$A$8:$Z$47,3,FALSE),""))</f>
        <v/>
      </c>
      <c r="E180" s="25" t="str">
        <f>IF(COUNTA(A180:C180,F180:R180)=0,"",IF(OR(A180="",B180="",C180="",COUNTIF(Projets,A180)&lt;&gt;1,COUNTIF(Personnes,C180)&lt;&gt;1),"Identité à corriger",IF(Calculs!T180&gt;0,"Charge à corriger",IF(Calculs!U180&gt;0,"Hors période", "OK"))))</f>
        <v/>
      </c>
      <c r="F180" s="22" t="n"/>
      <c r="G180" s="22" t="n"/>
      <c r="H180" s="22" t="n"/>
      <c r="I180" s="22" t="n"/>
      <c r="J180" s="22" t="n"/>
      <c r="K180" s="22" t="n"/>
      <c r="L180" s="22" t="n"/>
      <c r="M180" s="22" t="n"/>
      <c r="N180" s="22" t="n"/>
      <c r="O180" s="22" t="n"/>
      <c r="P180" s="22" t="n"/>
      <c r="Q180" s="22" t="n"/>
      <c r="R180" s="22" t="n"/>
      <c r="S180" s="21" t="n"/>
    </row>
    <row r="181" ht="28" customHeight="1">
      <c r="A181" s="21" t="n"/>
      <c r="B181" s="21" t="n"/>
      <c r="C181" s="21" t="n"/>
      <c r="D181" s="27" t="str">
        <f>IF(C181="","",IFERROR(VLOOKUP(C181,'Personnes'!$A$8:$Z$47,3,FALSE),""))</f>
        <v/>
      </c>
      <c r="E181" s="27" t="str">
        <f>IF(COUNTA(A181:C181,F181:R181)=0,"",IF(OR(A181="",B181="",C181="",COUNTIF(Projets,A181)&lt;&gt;1,COUNTIF(Personnes,C181)&lt;&gt;1),"Identité à corriger",IF(Calculs!T181&gt;0,"Charge à corriger",IF(Calculs!U181&gt;0,"Hors période", "OK"))))</f>
        <v/>
      </c>
      <c r="F181" s="22" t="n"/>
      <c r="G181" s="22" t="n"/>
      <c r="H181" s="22" t="n"/>
      <c r="I181" s="22" t="n"/>
      <c r="J181" s="22" t="n"/>
      <c r="K181" s="22" t="n"/>
      <c r="L181" s="22" t="n"/>
      <c r="M181" s="22" t="n"/>
      <c r="N181" s="22" t="n"/>
      <c r="O181" s="22" t="n"/>
      <c r="P181" s="22" t="n"/>
      <c r="Q181" s="22" t="n"/>
      <c r="R181" s="22" t="n"/>
      <c r="S181" s="21" t="n"/>
    </row>
    <row r="182" ht="28" customHeight="1">
      <c r="A182" s="21" t="n"/>
      <c r="B182" s="21" t="n"/>
      <c r="C182" s="21" t="n"/>
      <c r="D182" s="25" t="str">
        <f>IF(C182="","",IFERROR(VLOOKUP(C182,'Personnes'!$A$8:$Z$47,3,FALSE),""))</f>
        <v/>
      </c>
      <c r="E182" s="25" t="str">
        <f>IF(COUNTA(A182:C182,F182:R182)=0,"",IF(OR(A182="",B182="",C182="",COUNTIF(Projets,A182)&lt;&gt;1,COUNTIF(Personnes,C182)&lt;&gt;1),"Identité à corriger",IF(Calculs!T182&gt;0,"Charge à corriger",IF(Calculs!U182&gt;0,"Hors période", "OK"))))</f>
        <v/>
      </c>
      <c r="F182" s="22" t="n"/>
      <c r="G182" s="22" t="n"/>
      <c r="H182" s="22" t="n"/>
      <c r="I182" s="22" t="n"/>
      <c r="J182" s="22" t="n"/>
      <c r="K182" s="22" t="n"/>
      <c r="L182" s="22" t="n"/>
      <c r="M182" s="22" t="n"/>
      <c r="N182" s="22" t="n"/>
      <c r="O182" s="22" t="n"/>
      <c r="P182" s="22" t="n"/>
      <c r="Q182" s="22" t="n"/>
      <c r="R182" s="22" t="n"/>
      <c r="S182" s="21" t="n"/>
    </row>
    <row r="183" ht="28" customHeight="1">
      <c r="A183" s="21" t="n"/>
      <c r="B183" s="21" t="n"/>
      <c r="C183" s="21" t="n"/>
      <c r="D183" s="27" t="str">
        <f>IF(C183="","",IFERROR(VLOOKUP(C183,'Personnes'!$A$8:$Z$47,3,FALSE),""))</f>
        <v/>
      </c>
      <c r="E183" s="27" t="str">
        <f>IF(COUNTA(A183:C183,F183:R183)=0,"",IF(OR(A183="",B183="",C183="",COUNTIF(Projets,A183)&lt;&gt;1,COUNTIF(Personnes,C183)&lt;&gt;1),"Identité à corriger",IF(Calculs!T183&gt;0,"Charge à corriger",IF(Calculs!U183&gt;0,"Hors période", "OK"))))</f>
        <v/>
      </c>
      <c r="F183" s="22" t="n"/>
      <c r="G183" s="22" t="n"/>
      <c r="H183" s="22" t="n"/>
      <c r="I183" s="22" t="n"/>
      <c r="J183" s="22" t="n"/>
      <c r="K183" s="22" t="n"/>
      <c r="L183" s="22" t="n"/>
      <c r="M183" s="22" t="n"/>
      <c r="N183" s="22" t="n"/>
      <c r="O183" s="22" t="n"/>
      <c r="P183" s="22" t="n"/>
      <c r="Q183" s="22" t="n"/>
      <c r="R183" s="22" t="n"/>
      <c r="S183" s="21" t="n"/>
    </row>
    <row r="184" ht="28" customHeight="1">
      <c r="A184" s="21" t="n"/>
      <c r="B184" s="21" t="n"/>
      <c r="C184" s="21" t="n"/>
      <c r="D184" s="25" t="str">
        <f>IF(C184="","",IFERROR(VLOOKUP(C184,'Personnes'!$A$8:$Z$47,3,FALSE),""))</f>
        <v/>
      </c>
      <c r="E184" s="25" t="str">
        <f>IF(COUNTA(A184:C184,F184:R184)=0,"",IF(OR(A184="",B184="",C184="",COUNTIF(Projets,A184)&lt;&gt;1,COUNTIF(Personnes,C184)&lt;&gt;1),"Identité à corriger",IF(Calculs!T184&gt;0,"Charge à corriger",IF(Calculs!U184&gt;0,"Hors période", "OK"))))</f>
        <v/>
      </c>
      <c r="F184" s="22" t="n"/>
      <c r="G184" s="22" t="n"/>
      <c r="H184" s="22" t="n"/>
      <c r="I184" s="22" t="n"/>
      <c r="J184" s="22" t="n"/>
      <c r="K184" s="22" t="n"/>
      <c r="L184" s="22" t="n"/>
      <c r="M184" s="22" t="n"/>
      <c r="N184" s="22" t="n"/>
      <c r="O184" s="22" t="n"/>
      <c r="P184" s="22" t="n"/>
      <c r="Q184" s="22" t="n"/>
      <c r="R184" s="22" t="n"/>
      <c r="S184" s="21" t="n"/>
    </row>
    <row r="185" ht="28" customHeight="1">
      <c r="A185" s="21" t="n"/>
      <c r="B185" s="21" t="n"/>
      <c r="C185" s="21" t="n"/>
      <c r="D185" s="27" t="str">
        <f>IF(C185="","",IFERROR(VLOOKUP(C185,'Personnes'!$A$8:$Z$47,3,FALSE),""))</f>
        <v/>
      </c>
      <c r="E185" s="27" t="str">
        <f>IF(COUNTA(A185:C185,F185:R185)=0,"",IF(OR(A185="",B185="",C185="",COUNTIF(Projets,A185)&lt;&gt;1,COUNTIF(Personnes,C185)&lt;&gt;1),"Identité à corriger",IF(Calculs!T185&gt;0,"Charge à corriger",IF(Calculs!U185&gt;0,"Hors période", "OK"))))</f>
        <v/>
      </c>
      <c r="F185" s="22" t="n"/>
      <c r="G185" s="22" t="n"/>
      <c r="H185" s="22" t="n"/>
      <c r="I185" s="22" t="n"/>
      <c r="J185" s="22" t="n"/>
      <c r="K185" s="22" t="n"/>
      <c r="L185" s="22" t="n"/>
      <c r="M185" s="22" t="n"/>
      <c r="N185" s="22" t="n"/>
      <c r="O185" s="22" t="n"/>
      <c r="P185" s="22" t="n"/>
      <c r="Q185" s="22" t="n"/>
      <c r="R185" s="22" t="n"/>
      <c r="S185" s="21" t="n"/>
    </row>
    <row r="186" ht="28" customHeight="1">
      <c r="A186" s="21" t="n"/>
      <c r="B186" s="21" t="n"/>
      <c r="C186" s="21" t="n"/>
      <c r="D186" s="25" t="str">
        <f>IF(C186="","",IFERROR(VLOOKUP(C186,'Personnes'!$A$8:$Z$47,3,FALSE),""))</f>
        <v/>
      </c>
      <c r="E186" s="25" t="str">
        <f>IF(COUNTA(A186:C186,F186:R186)=0,"",IF(OR(A186="",B186="",C186="",COUNTIF(Projets,A186)&lt;&gt;1,COUNTIF(Personnes,C186)&lt;&gt;1),"Identité à corriger",IF(Calculs!T186&gt;0,"Charge à corriger",IF(Calculs!U186&gt;0,"Hors période", "OK"))))</f>
        <v/>
      </c>
      <c r="F186" s="22" t="n"/>
      <c r="G186" s="22" t="n"/>
      <c r="H186" s="22" t="n"/>
      <c r="I186" s="22" t="n"/>
      <c r="J186" s="22" t="n"/>
      <c r="K186" s="22" t="n"/>
      <c r="L186" s="22" t="n"/>
      <c r="M186" s="22" t="n"/>
      <c r="N186" s="22" t="n"/>
      <c r="O186" s="22" t="n"/>
      <c r="P186" s="22" t="n"/>
      <c r="Q186" s="22" t="n"/>
      <c r="R186" s="22" t="n"/>
      <c r="S186" s="21" t="n"/>
    </row>
    <row r="187" ht="28" customHeight="1">
      <c r="A187" s="21" t="n"/>
      <c r="B187" s="21" t="n"/>
      <c r="C187" s="21" t="n"/>
      <c r="D187" s="27" t="str">
        <f>IF(C187="","",IFERROR(VLOOKUP(C187,'Personnes'!$A$8:$Z$47,3,FALSE),""))</f>
        <v/>
      </c>
      <c r="E187" s="27" t="str">
        <f>IF(COUNTA(A187:C187,F187:R187)=0,"",IF(OR(A187="",B187="",C187="",COUNTIF(Projets,A187)&lt;&gt;1,COUNTIF(Personnes,C187)&lt;&gt;1),"Identité à corriger",IF(Calculs!T187&gt;0,"Charge à corriger",IF(Calculs!U187&gt;0,"Hors période", "OK"))))</f>
        <v/>
      </c>
      <c r="F187" s="22" t="n"/>
      <c r="G187" s="22" t="n"/>
      <c r="H187" s="22" t="n"/>
      <c r="I187" s="22" t="n"/>
      <c r="J187" s="22" t="n"/>
      <c r="K187" s="22" t="n"/>
      <c r="L187" s="22" t="n"/>
      <c r="M187" s="22" t="n"/>
      <c r="N187" s="22" t="n"/>
      <c r="O187" s="22" t="n"/>
      <c r="P187" s="22" t="n"/>
      <c r="Q187" s="22" t="n"/>
      <c r="R187" s="22" t="n"/>
      <c r="S187" s="21" t="n"/>
    </row>
    <row r="188" ht="28" customHeight="1">
      <c r="A188" s="21" t="n"/>
      <c r="B188" s="21" t="n"/>
      <c r="C188" s="21" t="n"/>
      <c r="D188" s="25" t="str">
        <f>IF(C188="","",IFERROR(VLOOKUP(C188,'Personnes'!$A$8:$Z$47,3,FALSE),""))</f>
        <v/>
      </c>
      <c r="E188" s="25" t="str">
        <f>IF(COUNTA(A188:C188,F188:R188)=0,"",IF(OR(A188="",B188="",C188="",COUNTIF(Projets,A188)&lt;&gt;1,COUNTIF(Personnes,C188)&lt;&gt;1),"Identité à corriger",IF(Calculs!T188&gt;0,"Charge à corriger",IF(Calculs!U188&gt;0,"Hors période", "OK"))))</f>
        <v/>
      </c>
      <c r="F188" s="22" t="n"/>
      <c r="G188" s="22" t="n"/>
      <c r="H188" s="22" t="n"/>
      <c r="I188" s="22" t="n"/>
      <c r="J188" s="22" t="n"/>
      <c r="K188" s="22" t="n"/>
      <c r="L188" s="22" t="n"/>
      <c r="M188" s="22" t="n"/>
      <c r="N188" s="22" t="n"/>
      <c r="O188" s="22" t="n"/>
      <c r="P188" s="22" t="n"/>
      <c r="Q188" s="22" t="n"/>
      <c r="R188" s="22" t="n"/>
      <c r="S188" s="21" t="n"/>
    </row>
    <row r="189" ht="28" customHeight="1">
      <c r="A189" s="21" t="n"/>
      <c r="B189" s="21" t="n"/>
      <c r="C189" s="21" t="n"/>
      <c r="D189" s="27" t="str">
        <f>IF(C189="","",IFERROR(VLOOKUP(C189,'Personnes'!$A$8:$Z$47,3,FALSE),""))</f>
        <v/>
      </c>
      <c r="E189" s="27" t="str">
        <f>IF(COUNTA(A189:C189,F189:R189)=0,"",IF(OR(A189="",B189="",C189="",COUNTIF(Projets,A189)&lt;&gt;1,COUNTIF(Personnes,C189)&lt;&gt;1),"Identité à corriger",IF(Calculs!T189&gt;0,"Charge à corriger",IF(Calculs!U189&gt;0,"Hors période", "OK"))))</f>
        <v/>
      </c>
      <c r="F189" s="22" t="n"/>
      <c r="G189" s="22" t="n"/>
      <c r="H189" s="22" t="n"/>
      <c r="I189" s="22" t="n"/>
      <c r="J189" s="22" t="n"/>
      <c r="K189" s="22" t="n"/>
      <c r="L189" s="22" t="n"/>
      <c r="M189" s="22" t="n"/>
      <c r="N189" s="22" t="n"/>
      <c r="O189" s="22" t="n"/>
      <c r="P189" s="22" t="n"/>
      <c r="Q189" s="22" t="n"/>
      <c r="R189" s="22" t="n"/>
      <c r="S189" s="21" t="n"/>
    </row>
    <row r="190" ht="28" customHeight="1">
      <c r="A190" s="21" t="n"/>
      <c r="B190" s="21" t="n"/>
      <c r="C190" s="21" t="n"/>
      <c r="D190" s="25" t="str">
        <f>IF(C190="","",IFERROR(VLOOKUP(C190,'Personnes'!$A$8:$Z$47,3,FALSE),""))</f>
        <v/>
      </c>
      <c r="E190" s="25" t="str">
        <f>IF(COUNTA(A190:C190,F190:R190)=0,"",IF(OR(A190="",B190="",C190="",COUNTIF(Projets,A190)&lt;&gt;1,COUNTIF(Personnes,C190)&lt;&gt;1),"Identité à corriger",IF(Calculs!T190&gt;0,"Charge à corriger",IF(Calculs!U190&gt;0,"Hors période", "OK"))))</f>
        <v/>
      </c>
      <c r="F190" s="22" t="n"/>
      <c r="G190" s="22" t="n"/>
      <c r="H190" s="22" t="n"/>
      <c r="I190" s="22" t="n"/>
      <c r="J190" s="22" t="n"/>
      <c r="K190" s="22" t="n"/>
      <c r="L190" s="22" t="n"/>
      <c r="M190" s="22" t="n"/>
      <c r="N190" s="22" t="n"/>
      <c r="O190" s="22" t="n"/>
      <c r="P190" s="22" t="n"/>
      <c r="Q190" s="22" t="n"/>
      <c r="R190" s="22" t="n"/>
      <c r="S190" s="21" t="n"/>
    </row>
    <row r="191" ht="28" customHeight="1">
      <c r="A191" s="21" t="n"/>
      <c r="B191" s="21" t="n"/>
      <c r="C191" s="21" t="n"/>
      <c r="D191" s="27" t="str">
        <f>IF(C191="","",IFERROR(VLOOKUP(C191,'Personnes'!$A$8:$Z$47,3,FALSE),""))</f>
        <v/>
      </c>
      <c r="E191" s="27" t="str">
        <f>IF(COUNTA(A191:C191,F191:R191)=0,"",IF(OR(A191="",B191="",C191="",COUNTIF(Projets,A191)&lt;&gt;1,COUNTIF(Personnes,C191)&lt;&gt;1),"Identité à corriger",IF(Calculs!T191&gt;0,"Charge à corriger",IF(Calculs!U191&gt;0,"Hors période", "OK"))))</f>
        <v/>
      </c>
      <c r="F191" s="22" t="n"/>
      <c r="G191" s="22" t="n"/>
      <c r="H191" s="22" t="n"/>
      <c r="I191" s="22" t="n"/>
      <c r="J191" s="22" t="n"/>
      <c r="K191" s="22" t="n"/>
      <c r="L191" s="22" t="n"/>
      <c r="M191" s="22" t="n"/>
      <c r="N191" s="22" t="n"/>
      <c r="O191" s="22" t="n"/>
      <c r="P191" s="22" t="n"/>
      <c r="Q191" s="22" t="n"/>
      <c r="R191" s="22" t="n"/>
      <c r="S191" s="21" t="n"/>
    </row>
    <row r="192" ht="28" customHeight="1">
      <c r="A192" s="21" t="n"/>
      <c r="B192" s="21" t="n"/>
      <c r="C192" s="21" t="n"/>
      <c r="D192" s="25" t="str">
        <f>IF(C192="","",IFERROR(VLOOKUP(C192,'Personnes'!$A$8:$Z$47,3,FALSE),""))</f>
        <v/>
      </c>
      <c r="E192" s="25" t="str">
        <f>IF(COUNTA(A192:C192,F192:R192)=0,"",IF(OR(A192="",B192="",C192="",COUNTIF(Projets,A192)&lt;&gt;1,COUNTIF(Personnes,C192)&lt;&gt;1),"Identité à corriger",IF(Calculs!T192&gt;0,"Charge à corriger",IF(Calculs!U192&gt;0,"Hors période", "OK"))))</f>
        <v/>
      </c>
      <c r="F192" s="22" t="n"/>
      <c r="G192" s="22" t="n"/>
      <c r="H192" s="22" t="n"/>
      <c r="I192" s="22" t="n"/>
      <c r="J192" s="22" t="n"/>
      <c r="K192" s="22" t="n"/>
      <c r="L192" s="22" t="n"/>
      <c r="M192" s="22" t="n"/>
      <c r="N192" s="22" t="n"/>
      <c r="O192" s="22" t="n"/>
      <c r="P192" s="22" t="n"/>
      <c r="Q192" s="22" t="n"/>
      <c r="R192" s="22" t="n"/>
      <c r="S192" s="21" t="n"/>
    </row>
    <row r="193" ht="28" customHeight="1">
      <c r="A193" s="21" t="n"/>
      <c r="B193" s="21" t="n"/>
      <c r="C193" s="21" t="n"/>
      <c r="D193" s="27" t="str">
        <f>IF(C193="","",IFERROR(VLOOKUP(C193,'Personnes'!$A$8:$Z$47,3,FALSE),""))</f>
        <v/>
      </c>
      <c r="E193" s="27" t="str">
        <f>IF(COUNTA(A193:C193,F193:R193)=0,"",IF(OR(A193="",B193="",C193="",COUNTIF(Projets,A193)&lt;&gt;1,COUNTIF(Personnes,C193)&lt;&gt;1),"Identité à corriger",IF(Calculs!T193&gt;0,"Charge à corriger",IF(Calculs!U193&gt;0,"Hors période", "OK"))))</f>
        <v/>
      </c>
      <c r="F193" s="22" t="n"/>
      <c r="G193" s="22" t="n"/>
      <c r="H193" s="22" t="n"/>
      <c r="I193" s="22" t="n"/>
      <c r="J193" s="22" t="n"/>
      <c r="K193" s="22" t="n"/>
      <c r="L193" s="22" t="n"/>
      <c r="M193" s="22" t="n"/>
      <c r="N193" s="22" t="n"/>
      <c r="O193" s="22" t="n"/>
      <c r="P193" s="22" t="n"/>
      <c r="Q193" s="22" t="n"/>
      <c r="R193" s="22" t="n"/>
      <c r="S193" s="21" t="n"/>
    </row>
    <row r="194" ht="28" customHeight="1">
      <c r="A194" s="21" t="n"/>
      <c r="B194" s="21" t="n"/>
      <c r="C194" s="21" t="n"/>
      <c r="D194" s="25" t="str">
        <f>IF(C194="","",IFERROR(VLOOKUP(C194,'Personnes'!$A$8:$Z$47,3,FALSE),""))</f>
        <v/>
      </c>
      <c r="E194" s="25" t="str">
        <f>IF(COUNTA(A194:C194,F194:R194)=0,"",IF(OR(A194="",B194="",C194="",COUNTIF(Projets,A194)&lt;&gt;1,COUNTIF(Personnes,C194)&lt;&gt;1),"Identité à corriger",IF(Calculs!T194&gt;0,"Charge à corriger",IF(Calculs!U194&gt;0,"Hors période", "OK"))))</f>
        <v/>
      </c>
      <c r="F194" s="22" t="n"/>
      <c r="G194" s="22" t="n"/>
      <c r="H194" s="22" t="n"/>
      <c r="I194" s="22" t="n"/>
      <c r="J194" s="22" t="n"/>
      <c r="K194" s="22" t="n"/>
      <c r="L194" s="22" t="n"/>
      <c r="M194" s="22" t="n"/>
      <c r="N194" s="22" t="n"/>
      <c r="O194" s="22" t="n"/>
      <c r="P194" s="22" t="n"/>
      <c r="Q194" s="22" t="n"/>
      <c r="R194" s="22" t="n"/>
      <c r="S194" s="21" t="n"/>
    </row>
    <row r="195" ht="28" customHeight="1">
      <c r="A195" s="21" t="n"/>
      <c r="B195" s="21" t="n"/>
      <c r="C195" s="21" t="n"/>
      <c r="D195" s="27" t="str">
        <f>IF(C195="","",IFERROR(VLOOKUP(C195,'Personnes'!$A$8:$Z$47,3,FALSE),""))</f>
        <v/>
      </c>
      <c r="E195" s="27" t="str">
        <f>IF(COUNTA(A195:C195,F195:R195)=0,"",IF(OR(A195="",B195="",C195="",COUNTIF(Projets,A195)&lt;&gt;1,COUNTIF(Personnes,C195)&lt;&gt;1),"Identité à corriger",IF(Calculs!T195&gt;0,"Charge à corriger",IF(Calculs!U195&gt;0,"Hors période", "OK"))))</f>
        <v/>
      </c>
      <c r="F195" s="22" t="n"/>
      <c r="G195" s="22" t="n"/>
      <c r="H195" s="22" t="n"/>
      <c r="I195" s="22" t="n"/>
      <c r="J195" s="22" t="n"/>
      <c r="K195" s="22" t="n"/>
      <c r="L195" s="22" t="n"/>
      <c r="M195" s="22" t="n"/>
      <c r="N195" s="22" t="n"/>
      <c r="O195" s="22" t="n"/>
      <c r="P195" s="22" t="n"/>
      <c r="Q195" s="22" t="n"/>
      <c r="R195" s="22" t="n"/>
      <c r="S195" s="21" t="n"/>
    </row>
    <row r="196" ht="28" customHeight="1">
      <c r="A196" s="21" t="n"/>
      <c r="B196" s="21" t="n"/>
      <c r="C196" s="21" t="n"/>
      <c r="D196" s="25" t="str">
        <f>IF(C196="","",IFERROR(VLOOKUP(C196,'Personnes'!$A$8:$Z$47,3,FALSE),""))</f>
        <v/>
      </c>
      <c r="E196" s="25" t="str">
        <f>IF(COUNTA(A196:C196,F196:R196)=0,"",IF(OR(A196="",B196="",C196="",COUNTIF(Projets,A196)&lt;&gt;1,COUNTIF(Personnes,C196)&lt;&gt;1),"Identité à corriger",IF(Calculs!T196&gt;0,"Charge à corriger",IF(Calculs!U196&gt;0,"Hors période", "OK"))))</f>
        <v/>
      </c>
      <c r="F196" s="22" t="n"/>
      <c r="G196" s="22" t="n"/>
      <c r="H196" s="22" t="n"/>
      <c r="I196" s="22" t="n"/>
      <c r="J196" s="22" t="n"/>
      <c r="K196" s="22" t="n"/>
      <c r="L196" s="22" t="n"/>
      <c r="M196" s="22" t="n"/>
      <c r="N196" s="22" t="n"/>
      <c r="O196" s="22" t="n"/>
      <c r="P196" s="22" t="n"/>
      <c r="Q196" s="22" t="n"/>
      <c r="R196" s="22" t="n"/>
      <c r="S196" s="21" t="n"/>
    </row>
    <row r="197" ht="28" customHeight="1">
      <c r="A197" s="21" t="n"/>
      <c r="B197" s="21" t="n"/>
      <c r="C197" s="21" t="n"/>
      <c r="D197" s="27" t="str">
        <f>IF(C197="","",IFERROR(VLOOKUP(C197,'Personnes'!$A$8:$Z$47,3,FALSE),""))</f>
        <v/>
      </c>
      <c r="E197" s="27" t="str">
        <f>IF(COUNTA(A197:C197,F197:R197)=0,"",IF(OR(A197="",B197="",C197="",COUNTIF(Projets,A197)&lt;&gt;1,COUNTIF(Personnes,C197)&lt;&gt;1),"Identité à corriger",IF(Calculs!T197&gt;0,"Charge à corriger",IF(Calculs!U197&gt;0,"Hors période", "OK"))))</f>
        <v/>
      </c>
      <c r="F197" s="22" t="n"/>
      <c r="G197" s="22" t="n"/>
      <c r="H197" s="22" t="n"/>
      <c r="I197" s="22" t="n"/>
      <c r="J197" s="22" t="n"/>
      <c r="K197" s="22" t="n"/>
      <c r="L197" s="22" t="n"/>
      <c r="M197" s="22" t="n"/>
      <c r="N197" s="22" t="n"/>
      <c r="O197" s="22" t="n"/>
      <c r="P197" s="22" t="n"/>
      <c r="Q197" s="22" t="n"/>
      <c r="R197" s="22" t="n"/>
      <c r="S197" s="21" t="n"/>
    </row>
    <row r="198" ht="28" customHeight="1">
      <c r="A198" s="21" t="n"/>
      <c r="B198" s="21" t="n"/>
      <c r="C198" s="21" t="n"/>
      <c r="D198" s="25" t="str">
        <f>IF(C198="","",IFERROR(VLOOKUP(C198,'Personnes'!$A$8:$Z$47,3,FALSE),""))</f>
        <v/>
      </c>
      <c r="E198" s="25" t="str">
        <f>IF(COUNTA(A198:C198,F198:R198)=0,"",IF(OR(A198="",B198="",C198="",COUNTIF(Projets,A198)&lt;&gt;1,COUNTIF(Personnes,C198)&lt;&gt;1),"Identité à corriger",IF(Calculs!T198&gt;0,"Charge à corriger",IF(Calculs!U198&gt;0,"Hors période", "OK"))))</f>
        <v/>
      </c>
      <c r="F198" s="22" t="n"/>
      <c r="G198" s="22" t="n"/>
      <c r="H198" s="22" t="n"/>
      <c r="I198" s="22" t="n"/>
      <c r="J198" s="22" t="n"/>
      <c r="K198" s="22" t="n"/>
      <c r="L198" s="22" t="n"/>
      <c r="M198" s="22" t="n"/>
      <c r="N198" s="22" t="n"/>
      <c r="O198" s="22" t="n"/>
      <c r="P198" s="22" t="n"/>
      <c r="Q198" s="22" t="n"/>
      <c r="R198" s="22" t="n"/>
      <c r="S198" s="21" t="n"/>
    </row>
    <row r="199" ht="28" customHeight="1">
      <c r="A199" s="21" t="n"/>
      <c r="B199" s="21" t="n"/>
      <c r="C199" s="21" t="n"/>
      <c r="D199" s="27" t="str">
        <f>IF(C199="","",IFERROR(VLOOKUP(C199,'Personnes'!$A$8:$Z$47,3,FALSE),""))</f>
        <v/>
      </c>
      <c r="E199" s="27" t="str">
        <f>IF(COUNTA(A199:C199,F199:R199)=0,"",IF(OR(A199="",B199="",C199="",COUNTIF(Projets,A199)&lt;&gt;1,COUNTIF(Personnes,C199)&lt;&gt;1),"Identité à corriger",IF(Calculs!T199&gt;0,"Charge à corriger",IF(Calculs!U199&gt;0,"Hors période", "OK"))))</f>
        <v/>
      </c>
      <c r="F199" s="22" t="n"/>
      <c r="G199" s="22" t="n"/>
      <c r="H199" s="22" t="n"/>
      <c r="I199" s="22" t="n"/>
      <c r="J199" s="22" t="n"/>
      <c r="K199" s="22" t="n"/>
      <c r="L199" s="22" t="n"/>
      <c r="M199" s="22" t="n"/>
      <c r="N199" s="22" t="n"/>
      <c r="O199" s="22" t="n"/>
      <c r="P199" s="22" t="n"/>
      <c r="Q199" s="22" t="n"/>
      <c r="R199" s="22" t="n"/>
      <c r="S199" s="21" t="n"/>
    </row>
    <row r="200" ht="28" customHeight="1">
      <c r="A200" s="21" t="n"/>
      <c r="B200" s="21" t="n"/>
      <c r="C200" s="21" t="n"/>
      <c r="D200" s="25" t="str">
        <f>IF(C200="","",IFERROR(VLOOKUP(C200,'Personnes'!$A$8:$Z$47,3,FALSE),""))</f>
        <v/>
      </c>
      <c r="E200" s="25" t="str">
        <f>IF(COUNTA(A200:C200,F200:R200)=0,"",IF(OR(A200="",B200="",C200="",COUNTIF(Projets,A200)&lt;&gt;1,COUNTIF(Personnes,C200)&lt;&gt;1),"Identité à corriger",IF(Calculs!T200&gt;0,"Charge à corriger",IF(Calculs!U200&gt;0,"Hors période", "OK"))))</f>
        <v/>
      </c>
      <c r="F200" s="22" t="n"/>
      <c r="G200" s="22" t="n"/>
      <c r="H200" s="22" t="n"/>
      <c r="I200" s="22" t="n"/>
      <c r="J200" s="22" t="n"/>
      <c r="K200" s="22" t="n"/>
      <c r="L200" s="22" t="n"/>
      <c r="M200" s="22" t="n"/>
      <c r="N200" s="22" t="n"/>
      <c r="O200" s="22" t="n"/>
      <c r="P200" s="22" t="n"/>
      <c r="Q200" s="22" t="n"/>
      <c r="R200" s="22" t="n"/>
      <c r="S200" s="21" t="n"/>
    </row>
    <row r="201" ht="28" customHeight="1">
      <c r="A201" s="21" t="n"/>
      <c r="B201" s="21" t="n"/>
      <c r="C201" s="21" t="n"/>
      <c r="D201" s="27" t="str">
        <f>IF(C201="","",IFERROR(VLOOKUP(C201,'Personnes'!$A$8:$Z$47,3,FALSE),""))</f>
        <v/>
      </c>
      <c r="E201" s="27" t="str">
        <f>IF(COUNTA(A201:C201,F201:R201)=0,"",IF(OR(A201="",B201="",C201="",COUNTIF(Projets,A201)&lt;&gt;1,COUNTIF(Personnes,C201)&lt;&gt;1),"Identité à corriger",IF(Calculs!T201&gt;0,"Charge à corriger",IF(Calculs!U201&gt;0,"Hors période", "OK"))))</f>
        <v/>
      </c>
      <c r="F201" s="22" t="n"/>
      <c r="G201" s="22" t="n"/>
      <c r="H201" s="22" t="n"/>
      <c r="I201" s="22" t="n"/>
      <c r="J201" s="22" t="n"/>
      <c r="K201" s="22" t="n"/>
      <c r="L201" s="22" t="n"/>
      <c r="M201" s="22" t="n"/>
      <c r="N201" s="22" t="n"/>
      <c r="O201" s="22" t="n"/>
      <c r="P201" s="22" t="n"/>
      <c r="Q201" s="22" t="n"/>
      <c r="R201" s="22" t="n"/>
      <c r="S201" s="21" t="n"/>
    </row>
    <row r="202" ht="28" customHeight="1">
      <c r="A202" s="21" t="n"/>
      <c r="B202" s="21" t="n"/>
      <c r="C202" s="21" t="n"/>
      <c r="D202" s="25" t="str">
        <f>IF(C202="","",IFERROR(VLOOKUP(C202,'Personnes'!$A$8:$Z$47,3,FALSE),""))</f>
        <v/>
      </c>
      <c r="E202" s="25" t="str">
        <f>IF(COUNTA(A202:C202,F202:R202)=0,"",IF(OR(A202="",B202="",C202="",COUNTIF(Projets,A202)&lt;&gt;1,COUNTIF(Personnes,C202)&lt;&gt;1),"Identité à corriger",IF(Calculs!T202&gt;0,"Charge à corriger",IF(Calculs!U202&gt;0,"Hors période", "OK"))))</f>
        <v/>
      </c>
      <c r="F202" s="22" t="n"/>
      <c r="G202" s="22" t="n"/>
      <c r="H202" s="22" t="n"/>
      <c r="I202" s="22" t="n"/>
      <c r="J202" s="22" t="n"/>
      <c r="K202" s="22" t="n"/>
      <c r="L202" s="22" t="n"/>
      <c r="M202" s="22" t="n"/>
      <c r="N202" s="22" t="n"/>
      <c r="O202" s="22" t="n"/>
      <c r="P202" s="22" t="n"/>
      <c r="Q202" s="22" t="n"/>
      <c r="R202" s="22" t="n"/>
      <c r="S202" s="21" t="n"/>
    </row>
    <row r="203" ht="28" customHeight="1">
      <c r="A203" s="21" t="n"/>
      <c r="B203" s="21" t="n"/>
      <c r="C203" s="21" t="n"/>
      <c r="D203" s="27" t="str">
        <f>IF(C203="","",IFERROR(VLOOKUP(C203,'Personnes'!$A$8:$Z$47,3,FALSE),""))</f>
        <v/>
      </c>
      <c r="E203" s="27" t="str">
        <f>IF(COUNTA(A203:C203,F203:R203)=0,"",IF(OR(A203="",B203="",C203="",COUNTIF(Projets,A203)&lt;&gt;1,COUNTIF(Personnes,C203)&lt;&gt;1),"Identité à corriger",IF(Calculs!T203&gt;0,"Charge à corriger",IF(Calculs!U203&gt;0,"Hors période", "OK"))))</f>
        <v/>
      </c>
      <c r="F203" s="22" t="n"/>
      <c r="G203" s="22" t="n"/>
      <c r="H203" s="22" t="n"/>
      <c r="I203" s="22" t="n"/>
      <c r="J203" s="22" t="n"/>
      <c r="K203" s="22" t="n"/>
      <c r="L203" s="22" t="n"/>
      <c r="M203" s="22" t="n"/>
      <c r="N203" s="22" t="n"/>
      <c r="O203" s="22" t="n"/>
      <c r="P203" s="22" t="n"/>
      <c r="Q203" s="22" t="n"/>
      <c r="R203" s="22" t="n"/>
      <c r="S203" s="21" t="n"/>
    </row>
    <row r="204" ht="28" customHeight="1">
      <c r="A204" s="21" t="n"/>
      <c r="B204" s="21" t="n"/>
      <c r="C204" s="21" t="n"/>
      <c r="D204" s="25" t="str">
        <f>IF(C204="","",IFERROR(VLOOKUP(C204,'Personnes'!$A$8:$Z$47,3,FALSE),""))</f>
        <v/>
      </c>
      <c r="E204" s="25" t="str">
        <f>IF(COUNTA(A204:C204,F204:R204)=0,"",IF(OR(A204="",B204="",C204="",COUNTIF(Projets,A204)&lt;&gt;1,COUNTIF(Personnes,C204)&lt;&gt;1),"Identité à corriger",IF(Calculs!T204&gt;0,"Charge à corriger",IF(Calculs!U204&gt;0,"Hors période", "OK"))))</f>
        <v/>
      </c>
      <c r="F204" s="22" t="n"/>
      <c r="G204" s="22" t="n"/>
      <c r="H204" s="22" t="n"/>
      <c r="I204" s="22" t="n"/>
      <c r="J204" s="22" t="n"/>
      <c r="K204" s="22" t="n"/>
      <c r="L204" s="22" t="n"/>
      <c r="M204" s="22" t="n"/>
      <c r="N204" s="22" t="n"/>
      <c r="O204" s="22" t="n"/>
      <c r="P204" s="22" t="n"/>
      <c r="Q204" s="22" t="n"/>
      <c r="R204" s="22" t="n"/>
      <c r="S204" s="21" t="n"/>
    </row>
    <row r="205" ht="28" customHeight="1">
      <c r="A205" s="21" t="n"/>
      <c r="B205" s="21" t="n"/>
      <c r="C205" s="21" t="n"/>
      <c r="D205" s="27" t="str">
        <f>IF(C205="","",IFERROR(VLOOKUP(C205,'Personnes'!$A$8:$Z$47,3,FALSE),""))</f>
        <v/>
      </c>
      <c r="E205" s="27" t="str">
        <f>IF(COUNTA(A205:C205,F205:R205)=0,"",IF(OR(A205="",B205="",C205="",COUNTIF(Projets,A205)&lt;&gt;1,COUNTIF(Personnes,C205)&lt;&gt;1),"Identité à corriger",IF(Calculs!T205&gt;0,"Charge à corriger",IF(Calculs!U205&gt;0,"Hors période", "OK"))))</f>
        <v/>
      </c>
      <c r="F205" s="22" t="n"/>
      <c r="G205" s="22" t="n"/>
      <c r="H205" s="22" t="n"/>
      <c r="I205" s="22" t="n"/>
      <c r="J205" s="22" t="n"/>
      <c r="K205" s="22" t="n"/>
      <c r="L205" s="22" t="n"/>
      <c r="M205" s="22" t="n"/>
      <c r="N205" s="22" t="n"/>
      <c r="O205" s="22" t="n"/>
      <c r="P205" s="22" t="n"/>
      <c r="Q205" s="22" t="n"/>
      <c r="R205" s="22" t="n"/>
      <c r="S205" s="21" t="n"/>
    </row>
    <row r="206" ht="28" customHeight="1">
      <c r="A206" s="21" t="n"/>
      <c r="B206" s="21" t="n"/>
      <c r="C206" s="21" t="n"/>
      <c r="D206" s="25" t="str">
        <f>IF(C206="","",IFERROR(VLOOKUP(C206,'Personnes'!$A$8:$Z$47,3,FALSE),""))</f>
        <v/>
      </c>
      <c r="E206" s="25" t="str">
        <f>IF(COUNTA(A206:C206,F206:R206)=0,"",IF(OR(A206="",B206="",C206="",COUNTIF(Projets,A206)&lt;&gt;1,COUNTIF(Personnes,C206)&lt;&gt;1),"Identité à corriger",IF(Calculs!T206&gt;0,"Charge à corriger",IF(Calculs!U206&gt;0,"Hors période", "OK"))))</f>
        <v/>
      </c>
      <c r="F206" s="22" t="n"/>
      <c r="G206" s="22" t="n"/>
      <c r="H206" s="22" t="n"/>
      <c r="I206" s="22" t="n"/>
      <c r="J206" s="22" t="n"/>
      <c r="K206" s="22" t="n"/>
      <c r="L206" s="22" t="n"/>
      <c r="M206" s="22" t="n"/>
      <c r="N206" s="22" t="n"/>
      <c r="O206" s="22" t="n"/>
      <c r="P206" s="22" t="n"/>
      <c r="Q206" s="22" t="n"/>
      <c r="R206" s="22" t="n"/>
      <c r="S206" s="21" t="n"/>
    </row>
    <row r="207" ht="28" customHeight="1">
      <c r="A207" s="21" t="n"/>
      <c r="B207" s="21" t="n"/>
      <c r="C207" s="21" t="n"/>
      <c r="D207" s="27" t="str">
        <f>IF(C207="","",IFERROR(VLOOKUP(C207,'Personnes'!$A$8:$Z$47,3,FALSE),""))</f>
        <v/>
      </c>
      <c r="E207" s="27" t="str">
        <f>IF(COUNTA(A207:C207,F207:R207)=0,"",IF(OR(A207="",B207="",C207="",COUNTIF(Projets,A207)&lt;&gt;1,COUNTIF(Personnes,C207)&lt;&gt;1),"Identité à corriger",IF(Calculs!T207&gt;0,"Charge à corriger",IF(Calculs!U207&gt;0,"Hors période", "OK"))))</f>
        <v/>
      </c>
      <c r="F207" s="22" t="n"/>
      <c r="G207" s="22" t="n"/>
      <c r="H207" s="22" t="n"/>
      <c r="I207" s="22" t="n"/>
      <c r="J207" s="22" t="n"/>
      <c r="K207" s="22" t="n"/>
      <c r="L207" s="22" t="n"/>
      <c r="M207" s="22" t="n"/>
      <c r="N207" s="22" t="n"/>
      <c r="O207" s="22" t="n"/>
      <c r="P207" s="22" t="n"/>
      <c r="Q207" s="22" t="n"/>
      <c r="R207" s="22" t="n"/>
      <c r="S207" s="21" t="n"/>
    </row>
    <row r="208" ht="28" customHeight="1">
      <c r="A208" s="21" t="n"/>
      <c r="B208" s="21" t="n"/>
      <c r="C208" s="21" t="n"/>
      <c r="D208" s="25" t="str">
        <f>IF(C208="","",IFERROR(VLOOKUP(C208,'Personnes'!$A$8:$Z$47,3,FALSE),""))</f>
        <v/>
      </c>
      <c r="E208" s="25" t="str">
        <f>IF(COUNTA(A208:C208,F208:R208)=0,"",IF(OR(A208="",B208="",C208="",COUNTIF(Projets,A208)&lt;&gt;1,COUNTIF(Personnes,C208)&lt;&gt;1),"Identité à corriger",IF(Calculs!T208&gt;0,"Charge à corriger",IF(Calculs!U208&gt;0,"Hors période", "OK"))))</f>
        <v/>
      </c>
      <c r="F208" s="22" t="n"/>
      <c r="G208" s="22" t="n"/>
      <c r="H208" s="22" t="n"/>
      <c r="I208" s="22" t="n"/>
      <c r="J208" s="22" t="n"/>
      <c r="K208" s="22" t="n"/>
      <c r="L208" s="22" t="n"/>
      <c r="M208" s="22" t="n"/>
      <c r="N208" s="22" t="n"/>
      <c r="O208" s="22" t="n"/>
      <c r="P208" s="22" t="n"/>
      <c r="Q208" s="22" t="n"/>
      <c r="R208" s="22" t="n"/>
      <c r="S208" s="21" t="n"/>
    </row>
    <row r="209" ht="28" customHeight="1">
      <c r="A209" s="21" t="n"/>
      <c r="B209" s="21" t="n"/>
      <c r="C209" s="21" t="n"/>
      <c r="D209" s="27" t="str">
        <f>IF(C209="","",IFERROR(VLOOKUP(C209,'Personnes'!$A$8:$Z$47,3,FALSE),""))</f>
        <v/>
      </c>
      <c r="E209" s="27" t="str">
        <f>IF(COUNTA(A209:C209,F209:R209)=0,"",IF(OR(A209="",B209="",C209="",COUNTIF(Projets,A209)&lt;&gt;1,COUNTIF(Personnes,C209)&lt;&gt;1),"Identité à corriger",IF(Calculs!T209&gt;0,"Charge à corriger",IF(Calculs!U209&gt;0,"Hors période", "OK"))))</f>
        <v/>
      </c>
      <c r="F209" s="22" t="n"/>
      <c r="G209" s="22" t="n"/>
      <c r="H209" s="22" t="n"/>
      <c r="I209" s="22" t="n"/>
      <c r="J209" s="22" t="n"/>
      <c r="K209" s="22" t="n"/>
      <c r="L209" s="22" t="n"/>
      <c r="M209" s="22" t="n"/>
      <c r="N209" s="22" t="n"/>
      <c r="O209" s="22" t="n"/>
      <c r="P209" s="22" t="n"/>
      <c r="Q209" s="22" t="n"/>
      <c r="R209" s="22" t="n"/>
      <c r="S209" s="21" t="n"/>
    </row>
    <row r="210" ht="28" customHeight="1">
      <c r="A210" s="21" t="n"/>
      <c r="B210" s="21" t="n"/>
      <c r="C210" s="21" t="n"/>
      <c r="D210" s="25" t="str">
        <f>IF(C210="","",IFERROR(VLOOKUP(C210,'Personnes'!$A$8:$Z$47,3,FALSE),""))</f>
        <v/>
      </c>
      <c r="E210" s="25" t="str">
        <f>IF(COUNTA(A210:C210,F210:R210)=0,"",IF(OR(A210="",B210="",C210="",COUNTIF(Projets,A210)&lt;&gt;1,COUNTIF(Personnes,C210)&lt;&gt;1),"Identité à corriger",IF(Calculs!T210&gt;0,"Charge à corriger",IF(Calculs!U210&gt;0,"Hors période", "OK"))))</f>
        <v/>
      </c>
      <c r="F210" s="22" t="n"/>
      <c r="G210" s="22" t="n"/>
      <c r="H210" s="22" t="n"/>
      <c r="I210" s="22" t="n"/>
      <c r="J210" s="22" t="n"/>
      <c r="K210" s="22" t="n"/>
      <c r="L210" s="22" t="n"/>
      <c r="M210" s="22" t="n"/>
      <c r="N210" s="22" t="n"/>
      <c r="O210" s="22" t="n"/>
      <c r="P210" s="22" t="n"/>
      <c r="Q210" s="22" t="n"/>
      <c r="R210" s="22" t="n"/>
      <c r="S210" s="21" t="n"/>
    </row>
    <row r="211" ht="28" customHeight="1">
      <c r="A211" s="21" t="n"/>
      <c r="B211" s="21" t="n"/>
      <c r="C211" s="21" t="n"/>
      <c r="D211" s="27" t="str">
        <f>IF(C211="","",IFERROR(VLOOKUP(C211,'Personnes'!$A$8:$Z$47,3,FALSE),""))</f>
        <v/>
      </c>
      <c r="E211" s="27" t="str">
        <f>IF(COUNTA(A211:C211,F211:R211)=0,"",IF(OR(A211="",B211="",C211="",COUNTIF(Projets,A211)&lt;&gt;1,COUNTIF(Personnes,C211)&lt;&gt;1),"Identité à corriger",IF(Calculs!T211&gt;0,"Charge à corriger",IF(Calculs!U211&gt;0,"Hors période", "OK"))))</f>
        <v/>
      </c>
      <c r="F211" s="22" t="n"/>
      <c r="G211" s="22" t="n"/>
      <c r="H211" s="22" t="n"/>
      <c r="I211" s="22" t="n"/>
      <c r="J211" s="22" t="n"/>
      <c r="K211" s="22" t="n"/>
      <c r="L211" s="22" t="n"/>
      <c r="M211" s="22" t="n"/>
      <c r="N211" s="22" t="n"/>
      <c r="O211" s="22" t="n"/>
      <c r="P211" s="22" t="n"/>
      <c r="Q211" s="22" t="n"/>
      <c r="R211" s="22" t="n"/>
      <c r="S211" s="21" t="n"/>
    </row>
    <row r="212" ht="28" customHeight="1">
      <c r="A212" s="21" t="n"/>
      <c r="B212" s="21" t="n"/>
      <c r="C212" s="21" t="n"/>
      <c r="D212" s="25" t="str">
        <f>IF(C212="","",IFERROR(VLOOKUP(C212,'Personnes'!$A$8:$Z$47,3,FALSE),""))</f>
        <v/>
      </c>
      <c r="E212" s="25" t="str">
        <f>IF(COUNTA(A212:C212,F212:R212)=0,"",IF(OR(A212="",B212="",C212="",COUNTIF(Projets,A212)&lt;&gt;1,COUNTIF(Personnes,C212)&lt;&gt;1),"Identité à corriger",IF(Calculs!T212&gt;0,"Charge à corriger",IF(Calculs!U212&gt;0,"Hors période", "OK"))))</f>
        <v/>
      </c>
      <c r="F212" s="22" t="n"/>
      <c r="G212" s="22" t="n"/>
      <c r="H212" s="22" t="n"/>
      <c r="I212" s="22" t="n"/>
      <c r="J212" s="22" t="n"/>
      <c r="K212" s="22" t="n"/>
      <c r="L212" s="22" t="n"/>
      <c r="M212" s="22" t="n"/>
      <c r="N212" s="22" t="n"/>
      <c r="O212" s="22" t="n"/>
      <c r="P212" s="22" t="n"/>
      <c r="Q212" s="22" t="n"/>
      <c r="R212" s="22" t="n"/>
      <c r="S212" s="21" t="n"/>
    </row>
    <row r="213" ht="28" customHeight="1">
      <c r="A213" s="21" t="n"/>
      <c r="B213" s="21" t="n"/>
      <c r="C213" s="21" t="n"/>
      <c r="D213" s="27" t="str">
        <f>IF(C213="","",IFERROR(VLOOKUP(C213,'Personnes'!$A$8:$Z$47,3,FALSE),""))</f>
        <v/>
      </c>
      <c r="E213" s="27" t="str">
        <f>IF(COUNTA(A213:C213,F213:R213)=0,"",IF(OR(A213="",B213="",C213="",COUNTIF(Projets,A213)&lt;&gt;1,COUNTIF(Personnes,C213)&lt;&gt;1),"Identité à corriger",IF(Calculs!T213&gt;0,"Charge à corriger",IF(Calculs!U213&gt;0,"Hors période", "OK"))))</f>
        <v/>
      </c>
      <c r="F213" s="22" t="n"/>
      <c r="G213" s="22" t="n"/>
      <c r="H213" s="22" t="n"/>
      <c r="I213" s="22" t="n"/>
      <c r="J213" s="22" t="n"/>
      <c r="K213" s="22" t="n"/>
      <c r="L213" s="22" t="n"/>
      <c r="M213" s="22" t="n"/>
      <c r="N213" s="22" t="n"/>
      <c r="O213" s="22" t="n"/>
      <c r="P213" s="22" t="n"/>
      <c r="Q213" s="22" t="n"/>
      <c r="R213" s="22" t="n"/>
      <c r="S213" s="21" t="n"/>
    </row>
    <row r="214" ht="28" customHeight="1">
      <c r="A214" s="21" t="n"/>
      <c r="B214" s="21" t="n"/>
      <c r="C214" s="21" t="n"/>
      <c r="D214" s="25" t="str">
        <f>IF(C214="","",IFERROR(VLOOKUP(C214,'Personnes'!$A$8:$Z$47,3,FALSE),""))</f>
        <v/>
      </c>
      <c r="E214" s="25" t="str">
        <f>IF(COUNTA(A214:C214,F214:R214)=0,"",IF(OR(A214="",B214="",C214="",COUNTIF(Projets,A214)&lt;&gt;1,COUNTIF(Personnes,C214)&lt;&gt;1),"Identité à corriger",IF(Calculs!T214&gt;0,"Charge à corriger",IF(Calculs!U214&gt;0,"Hors période", "OK"))))</f>
        <v/>
      </c>
      <c r="F214" s="22" t="n"/>
      <c r="G214" s="22" t="n"/>
      <c r="H214" s="22" t="n"/>
      <c r="I214" s="22" t="n"/>
      <c r="J214" s="22" t="n"/>
      <c r="K214" s="22" t="n"/>
      <c r="L214" s="22" t="n"/>
      <c r="M214" s="22" t="n"/>
      <c r="N214" s="22" t="n"/>
      <c r="O214" s="22" t="n"/>
      <c r="P214" s="22" t="n"/>
      <c r="Q214" s="22" t="n"/>
      <c r="R214" s="22" t="n"/>
      <c r="S214" s="21" t="n"/>
    </row>
    <row r="215" ht="28" customHeight="1">
      <c r="A215" s="21" t="n"/>
      <c r="B215" s="21" t="n"/>
      <c r="C215" s="21" t="n"/>
      <c r="D215" s="27" t="str">
        <f>IF(C215="","",IFERROR(VLOOKUP(C215,'Personnes'!$A$8:$Z$47,3,FALSE),""))</f>
        <v/>
      </c>
      <c r="E215" s="27" t="str">
        <f>IF(COUNTA(A215:C215,F215:R215)=0,"",IF(OR(A215="",B215="",C215="",COUNTIF(Projets,A215)&lt;&gt;1,COUNTIF(Personnes,C215)&lt;&gt;1),"Identité à corriger",IF(Calculs!T215&gt;0,"Charge à corriger",IF(Calculs!U215&gt;0,"Hors période", "OK"))))</f>
        <v/>
      </c>
      <c r="F215" s="22" t="n"/>
      <c r="G215" s="22" t="n"/>
      <c r="H215" s="22" t="n"/>
      <c r="I215" s="22" t="n"/>
      <c r="J215" s="22" t="n"/>
      <c r="K215" s="22" t="n"/>
      <c r="L215" s="22" t="n"/>
      <c r="M215" s="22" t="n"/>
      <c r="N215" s="22" t="n"/>
      <c r="O215" s="22" t="n"/>
      <c r="P215" s="22" t="n"/>
      <c r="Q215" s="22" t="n"/>
      <c r="R215" s="22" t="n"/>
      <c r="S215" s="21" t="n"/>
    </row>
    <row r="216" ht="28" customHeight="1">
      <c r="A216" s="21" t="n"/>
      <c r="B216" s="21" t="n"/>
      <c r="C216" s="21" t="n"/>
      <c r="D216" s="25" t="str">
        <f>IF(C216="","",IFERROR(VLOOKUP(C216,'Personnes'!$A$8:$Z$47,3,FALSE),""))</f>
        <v/>
      </c>
      <c r="E216" s="25" t="str">
        <f>IF(COUNTA(A216:C216,F216:R216)=0,"",IF(OR(A216="",B216="",C216="",COUNTIF(Projets,A216)&lt;&gt;1,COUNTIF(Personnes,C216)&lt;&gt;1),"Identité à corriger",IF(Calculs!T216&gt;0,"Charge à corriger",IF(Calculs!U216&gt;0,"Hors période", "OK"))))</f>
        <v/>
      </c>
      <c r="F216" s="22" t="n"/>
      <c r="G216" s="22" t="n"/>
      <c r="H216" s="22" t="n"/>
      <c r="I216" s="22" t="n"/>
      <c r="J216" s="22" t="n"/>
      <c r="K216" s="22" t="n"/>
      <c r="L216" s="22" t="n"/>
      <c r="M216" s="22" t="n"/>
      <c r="N216" s="22" t="n"/>
      <c r="O216" s="22" t="n"/>
      <c r="P216" s="22" t="n"/>
      <c r="Q216" s="22" t="n"/>
      <c r="R216" s="22" t="n"/>
      <c r="S216" s="21" t="n"/>
    </row>
    <row r="217" ht="28" customHeight="1">
      <c r="A217" s="21" t="n"/>
      <c r="B217" s="21" t="n"/>
      <c r="C217" s="21" t="n"/>
      <c r="D217" s="27" t="str">
        <f>IF(C217="","",IFERROR(VLOOKUP(C217,'Personnes'!$A$8:$Z$47,3,FALSE),""))</f>
        <v/>
      </c>
      <c r="E217" s="27" t="str">
        <f>IF(COUNTA(A217:C217,F217:R217)=0,"",IF(OR(A217="",B217="",C217="",COUNTIF(Projets,A217)&lt;&gt;1,COUNTIF(Personnes,C217)&lt;&gt;1),"Identité à corriger",IF(Calculs!T217&gt;0,"Charge à corriger",IF(Calculs!U217&gt;0,"Hors période", "OK"))))</f>
        <v/>
      </c>
      <c r="F217" s="22" t="n"/>
      <c r="G217" s="22" t="n"/>
      <c r="H217" s="22" t="n"/>
      <c r="I217" s="22" t="n"/>
      <c r="J217" s="22" t="n"/>
      <c r="K217" s="22" t="n"/>
      <c r="L217" s="22" t="n"/>
      <c r="M217" s="22" t="n"/>
      <c r="N217" s="22" t="n"/>
      <c r="O217" s="22" t="n"/>
      <c r="P217" s="22" t="n"/>
      <c r="Q217" s="22" t="n"/>
      <c r="R217" s="22" t="n"/>
      <c r="S217" s="21" t="n"/>
    </row>
    <row r="218" ht="28" customHeight="1">
      <c r="A218" s="21" t="n"/>
      <c r="B218" s="21" t="n"/>
      <c r="C218" s="21" t="n"/>
      <c r="D218" s="25" t="str">
        <f>IF(C218="","",IFERROR(VLOOKUP(C218,'Personnes'!$A$8:$Z$47,3,FALSE),""))</f>
        <v/>
      </c>
      <c r="E218" s="25" t="str">
        <f>IF(COUNTA(A218:C218,F218:R218)=0,"",IF(OR(A218="",B218="",C218="",COUNTIF(Projets,A218)&lt;&gt;1,COUNTIF(Personnes,C218)&lt;&gt;1),"Identité à corriger",IF(Calculs!T218&gt;0,"Charge à corriger",IF(Calculs!U218&gt;0,"Hors période", "OK"))))</f>
        <v/>
      </c>
      <c r="F218" s="22" t="n"/>
      <c r="G218" s="22" t="n"/>
      <c r="H218" s="22" t="n"/>
      <c r="I218" s="22" t="n"/>
      <c r="J218" s="22" t="n"/>
      <c r="K218" s="22" t="n"/>
      <c r="L218" s="22" t="n"/>
      <c r="M218" s="22" t="n"/>
      <c r="N218" s="22" t="n"/>
      <c r="O218" s="22" t="n"/>
      <c r="P218" s="22" t="n"/>
      <c r="Q218" s="22" t="n"/>
      <c r="R218" s="22" t="n"/>
      <c r="S218" s="21" t="n"/>
    </row>
    <row r="219" ht="28" customHeight="1">
      <c r="A219" s="21" t="n"/>
      <c r="B219" s="21" t="n"/>
      <c r="C219" s="21" t="n"/>
      <c r="D219" s="27" t="str">
        <f>IF(C219="","",IFERROR(VLOOKUP(C219,'Personnes'!$A$8:$Z$47,3,FALSE),""))</f>
        <v/>
      </c>
      <c r="E219" s="27" t="str">
        <f>IF(COUNTA(A219:C219,F219:R219)=0,"",IF(OR(A219="",B219="",C219="",COUNTIF(Projets,A219)&lt;&gt;1,COUNTIF(Personnes,C219)&lt;&gt;1),"Identité à corriger",IF(Calculs!T219&gt;0,"Charge à corriger",IF(Calculs!U219&gt;0,"Hors période", "OK"))))</f>
        <v/>
      </c>
      <c r="F219" s="22" t="n"/>
      <c r="G219" s="22" t="n"/>
      <c r="H219" s="22" t="n"/>
      <c r="I219" s="22" t="n"/>
      <c r="J219" s="22" t="n"/>
      <c r="K219" s="22" t="n"/>
      <c r="L219" s="22" t="n"/>
      <c r="M219" s="22" t="n"/>
      <c r="N219" s="22" t="n"/>
      <c r="O219" s="22" t="n"/>
      <c r="P219" s="22" t="n"/>
      <c r="Q219" s="22" t="n"/>
      <c r="R219" s="22" t="n"/>
      <c r="S219" s="21" t="n"/>
    </row>
    <row r="220" ht="28" customHeight="1">
      <c r="A220" s="21" t="n"/>
      <c r="B220" s="21" t="n"/>
      <c r="C220" s="21" t="n"/>
      <c r="D220" s="25" t="str">
        <f>IF(C220="","",IFERROR(VLOOKUP(C220,'Personnes'!$A$8:$Z$47,3,FALSE),""))</f>
        <v/>
      </c>
      <c r="E220" s="25" t="str">
        <f>IF(COUNTA(A220:C220,F220:R220)=0,"",IF(OR(A220="",B220="",C220="",COUNTIF(Projets,A220)&lt;&gt;1,COUNTIF(Personnes,C220)&lt;&gt;1),"Identité à corriger",IF(Calculs!T220&gt;0,"Charge à corriger",IF(Calculs!U220&gt;0,"Hors période", "OK"))))</f>
        <v/>
      </c>
      <c r="F220" s="22" t="n"/>
      <c r="G220" s="22" t="n"/>
      <c r="H220" s="22" t="n"/>
      <c r="I220" s="22" t="n"/>
      <c r="J220" s="22" t="n"/>
      <c r="K220" s="22" t="n"/>
      <c r="L220" s="22" t="n"/>
      <c r="M220" s="22" t="n"/>
      <c r="N220" s="22" t="n"/>
      <c r="O220" s="22" t="n"/>
      <c r="P220" s="22" t="n"/>
      <c r="Q220" s="22" t="n"/>
      <c r="R220" s="22" t="n"/>
      <c r="S220" s="21" t="n"/>
    </row>
    <row r="221" ht="28" customHeight="1">
      <c r="A221" s="21" t="n"/>
      <c r="B221" s="21" t="n"/>
      <c r="C221" s="21" t="n"/>
      <c r="D221" s="27" t="str">
        <f>IF(C221="","",IFERROR(VLOOKUP(C221,'Personnes'!$A$8:$Z$47,3,FALSE),""))</f>
        <v/>
      </c>
      <c r="E221" s="27" t="str">
        <f>IF(COUNTA(A221:C221,F221:R221)=0,"",IF(OR(A221="",B221="",C221="",COUNTIF(Projets,A221)&lt;&gt;1,COUNTIF(Personnes,C221)&lt;&gt;1),"Identité à corriger",IF(Calculs!T221&gt;0,"Charge à corriger",IF(Calculs!U221&gt;0,"Hors période", "OK"))))</f>
        <v/>
      </c>
      <c r="F221" s="22" t="n"/>
      <c r="G221" s="22" t="n"/>
      <c r="H221" s="22" t="n"/>
      <c r="I221" s="22" t="n"/>
      <c r="J221" s="22" t="n"/>
      <c r="K221" s="22" t="n"/>
      <c r="L221" s="22" t="n"/>
      <c r="M221" s="22" t="n"/>
      <c r="N221" s="22" t="n"/>
      <c r="O221" s="22" t="n"/>
      <c r="P221" s="22" t="n"/>
      <c r="Q221" s="22" t="n"/>
      <c r="R221" s="22" t="n"/>
      <c r="S221" s="21" t="n"/>
    </row>
    <row r="222" ht="28" customHeight="1">
      <c r="A222" s="21" t="n"/>
      <c r="B222" s="21" t="n"/>
      <c r="C222" s="21" t="n"/>
      <c r="D222" s="25" t="str">
        <f>IF(C222="","",IFERROR(VLOOKUP(C222,'Personnes'!$A$8:$Z$47,3,FALSE),""))</f>
        <v/>
      </c>
      <c r="E222" s="25" t="str">
        <f>IF(COUNTA(A222:C222,F222:R222)=0,"",IF(OR(A222="",B222="",C222="",COUNTIF(Projets,A222)&lt;&gt;1,COUNTIF(Personnes,C222)&lt;&gt;1),"Identité à corriger",IF(Calculs!T222&gt;0,"Charge à corriger",IF(Calculs!U222&gt;0,"Hors période", "OK"))))</f>
        <v/>
      </c>
      <c r="F222" s="22" t="n"/>
      <c r="G222" s="22" t="n"/>
      <c r="H222" s="22" t="n"/>
      <c r="I222" s="22" t="n"/>
      <c r="J222" s="22" t="n"/>
      <c r="K222" s="22" t="n"/>
      <c r="L222" s="22" t="n"/>
      <c r="M222" s="22" t="n"/>
      <c r="N222" s="22" t="n"/>
      <c r="O222" s="22" t="n"/>
      <c r="P222" s="22" t="n"/>
      <c r="Q222" s="22" t="n"/>
      <c r="R222" s="22" t="n"/>
      <c r="S222" s="21" t="n"/>
    </row>
    <row r="223" ht="28" customHeight="1">
      <c r="A223" s="21" t="n"/>
      <c r="B223" s="21" t="n"/>
      <c r="C223" s="21" t="n"/>
      <c r="D223" s="27" t="str">
        <f>IF(C223="","",IFERROR(VLOOKUP(C223,'Personnes'!$A$8:$Z$47,3,FALSE),""))</f>
        <v/>
      </c>
      <c r="E223" s="27" t="str">
        <f>IF(COUNTA(A223:C223,F223:R223)=0,"",IF(OR(A223="",B223="",C223="",COUNTIF(Projets,A223)&lt;&gt;1,COUNTIF(Personnes,C223)&lt;&gt;1),"Identité à corriger",IF(Calculs!T223&gt;0,"Charge à corriger",IF(Calculs!U223&gt;0,"Hors période", "OK"))))</f>
        <v/>
      </c>
      <c r="F223" s="22" t="n"/>
      <c r="G223" s="22" t="n"/>
      <c r="H223" s="22" t="n"/>
      <c r="I223" s="22" t="n"/>
      <c r="J223" s="22" t="n"/>
      <c r="K223" s="22" t="n"/>
      <c r="L223" s="22" t="n"/>
      <c r="M223" s="22" t="n"/>
      <c r="N223" s="22" t="n"/>
      <c r="O223" s="22" t="n"/>
      <c r="P223" s="22" t="n"/>
      <c r="Q223" s="22" t="n"/>
      <c r="R223" s="22" t="n"/>
      <c r="S223" s="21" t="n"/>
    </row>
    <row r="224" ht="28" customHeight="1">
      <c r="A224" s="21" t="n"/>
      <c r="B224" s="21" t="n"/>
      <c r="C224" s="21" t="n"/>
      <c r="D224" s="25" t="str">
        <f>IF(C224="","",IFERROR(VLOOKUP(C224,'Personnes'!$A$8:$Z$47,3,FALSE),""))</f>
        <v/>
      </c>
      <c r="E224" s="25" t="str">
        <f>IF(COUNTA(A224:C224,F224:R224)=0,"",IF(OR(A224="",B224="",C224="",COUNTIF(Projets,A224)&lt;&gt;1,COUNTIF(Personnes,C224)&lt;&gt;1),"Identité à corriger",IF(Calculs!T224&gt;0,"Charge à corriger",IF(Calculs!U224&gt;0,"Hors période", "OK"))))</f>
        <v/>
      </c>
      <c r="F224" s="22" t="n"/>
      <c r="G224" s="22" t="n"/>
      <c r="H224" s="22" t="n"/>
      <c r="I224" s="22" t="n"/>
      <c r="J224" s="22" t="n"/>
      <c r="K224" s="22" t="n"/>
      <c r="L224" s="22" t="n"/>
      <c r="M224" s="22" t="n"/>
      <c r="N224" s="22" t="n"/>
      <c r="O224" s="22" t="n"/>
      <c r="P224" s="22" t="n"/>
      <c r="Q224" s="22" t="n"/>
      <c r="R224" s="22" t="n"/>
      <c r="S224" s="21" t="n"/>
    </row>
    <row r="225" ht="28" customHeight="1">
      <c r="A225" s="21" t="n"/>
      <c r="B225" s="21" t="n"/>
      <c r="C225" s="21" t="n"/>
      <c r="D225" s="27" t="str">
        <f>IF(C225="","",IFERROR(VLOOKUP(C225,'Personnes'!$A$8:$Z$47,3,FALSE),""))</f>
        <v/>
      </c>
      <c r="E225" s="27" t="str">
        <f>IF(COUNTA(A225:C225,F225:R225)=0,"",IF(OR(A225="",B225="",C225="",COUNTIF(Projets,A225)&lt;&gt;1,COUNTIF(Personnes,C225)&lt;&gt;1),"Identité à corriger",IF(Calculs!T225&gt;0,"Charge à corriger",IF(Calculs!U225&gt;0,"Hors période", "OK"))))</f>
        <v/>
      </c>
      <c r="F225" s="22" t="n"/>
      <c r="G225" s="22" t="n"/>
      <c r="H225" s="22" t="n"/>
      <c r="I225" s="22" t="n"/>
      <c r="J225" s="22" t="n"/>
      <c r="K225" s="22" t="n"/>
      <c r="L225" s="22" t="n"/>
      <c r="M225" s="22" t="n"/>
      <c r="N225" s="22" t="n"/>
      <c r="O225" s="22" t="n"/>
      <c r="P225" s="22" t="n"/>
      <c r="Q225" s="22" t="n"/>
      <c r="R225" s="22" t="n"/>
      <c r="S225" s="21" t="n"/>
    </row>
    <row r="226" ht="28" customHeight="1">
      <c r="A226" s="21" t="n"/>
      <c r="B226" s="21" t="n"/>
      <c r="C226" s="21" t="n"/>
      <c r="D226" s="25" t="str">
        <f>IF(C226="","",IFERROR(VLOOKUP(C226,'Personnes'!$A$8:$Z$47,3,FALSE),""))</f>
        <v/>
      </c>
      <c r="E226" s="25" t="str">
        <f>IF(COUNTA(A226:C226,F226:R226)=0,"",IF(OR(A226="",B226="",C226="",COUNTIF(Projets,A226)&lt;&gt;1,COUNTIF(Personnes,C226)&lt;&gt;1),"Identité à corriger",IF(Calculs!T226&gt;0,"Charge à corriger",IF(Calculs!U226&gt;0,"Hors période", "OK"))))</f>
        <v/>
      </c>
      <c r="F226" s="22" t="n"/>
      <c r="G226" s="22" t="n"/>
      <c r="H226" s="22" t="n"/>
      <c r="I226" s="22" t="n"/>
      <c r="J226" s="22" t="n"/>
      <c r="K226" s="22" t="n"/>
      <c r="L226" s="22" t="n"/>
      <c r="M226" s="22" t="n"/>
      <c r="N226" s="22" t="n"/>
      <c r="O226" s="22" t="n"/>
      <c r="P226" s="22" t="n"/>
      <c r="Q226" s="22" t="n"/>
      <c r="R226" s="22" t="n"/>
      <c r="S226" s="21" t="n"/>
    </row>
    <row r="227" ht="28" customHeight="1">
      <c r="A227" s="21" t="n"/>
      <c r="B227" s="21" t="n"/>
      <c r="C227" s="21" t="n"/>
      <c r="D227" s="27" t="str">
        <f>IF(C227="","",IFERROR(VLOOKUP(C227,'Personnes'!$A$8:$Z$47,3,FALSE),""))</f>
        <v/>
      </c>
      <c r="E227" s="27" t="str">
        <f>IF(COUNTA(A227:C227,F227:R227)=0,"",IF(OR(A227="",B227="",C227="",COUNTIF(Projets,A227)&lt;&gt;1,COUNTIF(Personnes,C227)&lt;&gt;1),"Identité à corriger",IF(Calculs!T227&gt;0,"Charge à corriger",IF(Calculs!U227&gt;0,"Hors période", "OK"))))</f>
        <v/>
      </c>
      <c r="F227" s="22" t="n"/>
      <c r="G227" s="22" t="n"/>
      <c r="H227" s="22" t="n"/>
      <c r="I227" s="22" t="n"/>
      <c r="J227" s="22" t="n"/>
      <c r="K227" s="22" t="n"/>
      <c r="L227" s="22" t="n"/>
      <c r="M227" s="22" t="n"/>
      <c r="N227" s="22" t="n"/>
      <c r="O227" s="22" t="n"/>
      <c r="P227" s="22" t="n"/>
      <c r="Q227" s="22" t="n"/>
      <c r="R227" s="22" t="n"/>
      <c r="S227" s="21" t="n"/>
    </row>
    <row r="228" ht="28" customHeight="1">
      <c r="A228" s="21" t="n"/>
      <c r="B228" s="21" t="n"/>
      <c r="C228" s="21" t="n"/>
      <c r="D228" s="25" t="str">
        <f>IF(C228="","",IFERROR(VLOOKUP(C228,'Personnes'!$A$8:$Z$47,3,FALSE),""))</f>
        <v/>
      </c>
      <c r="E228" s="25" t="str">
        <f>IF(COUNTA(A228:C228,F228:R228)=0,"",IF(OR(A228="",B228="",C228="",COUNTIF(Projets,A228)&lt;&gt;1,COUNTIF(Personnes,C228)&lt;&gt;1),"Identité à corriger",IF(Calculs!T228&gt;0,"Charge à corriger",IF(Calculs!U228&gt;0,"Hors période", "OK"))))</f>
        <v/>
      </c>
      <c r="F228" s="22" t="n"/>
      <c r="G228" s="22" t="n"/>
      <c r="H228" s="22" t="n"/>
      <c r="I228" s="22" t="n"/>
      <c r="J228" s="22" t="n"/>
      <c r="K228" s="22" t="n"/>
      <c r="L228" s="22" t="n"/>
      <c r="M228" s="22" t="n"/>
      <c r="N228" s="22" t="n"/>
      <c r="O228" s="22" t="n"/>
      <c r="P228" s="22" t="n"/>
      <c r="Q228" s="22" t="n"/>
      <c r="R228" s="22" t="n"/>
      <c r="S228" s="21" t="n"/>
    </row>
    <row r="229" ht="28" customHeight="1">
      <c r="A229" s="21" t="n"/>
      <c r="B229" s="21" t="n"/>
      <c r="C229" s="21" t="n"/>
      <c r="D229" s="27" t="str">
        <f>IF(C229="","",IFERROR(VLOOKUP(C229,'Personnes'!$A$8:$Z$47,3,FALSE),""))</f>
        <v/>
      </c>
      <c r="E229" s="27" t="str">
        <f>IF(COUNTA(A229:C229,F229:R229)=0,"",IF(OR(A229="",B229="",C229="",COUNTIF(Projets,A229)&lt;&gt;1,COUNTIF(Personnes,C229)&lt;&gt;1),"Identité à corriger",IF(Calculs!T229&gt;0,"Charge à corriger",IF(Calculs!U229&gt;0,"Hors période", "OK"))))</f>
        <v/>
      </c>
      <c r="F229" s="22" t="n"/>
      <c r="G229" s="22" t="n"/>
      <c r="H229" s="22" t="n"/>
      <c r="I229" s="22" t="n"/>
      <c r="J229" s="22" t="n"/>
      <c r="K229" s="22" t="n"/>
      <c r="L229" s="22" t="n"/>
      <c r="M229" s="22" t="n"/>
      <c r="N229" s="22" t="n"/>
      <c r="O229" s="22" t="n"/>
      <c r="P229" s="22" t="n"/>
      <c r="Q229" s="22" t="n"/>
      <c r="R229" s="22" t="n"/>
      <c r="S229" s="21" t="n"/>
    </row>
    <row r="230" ht="28" customHeight="1">
      <c r="A230" s="21" t="n"/>
      <c r="B230" s="21" t="n"/>
      <c r="C230" s="21" t="n"/>
      <c r="D230" s="25" t="str">
        <f>IF(C230="","",IFERROR(VLOOKUP(C230,'Personnes'!$A$8:$Z$47,3,FALSE),""))</f>
        <v/>
      </c>
      <c r="E230" s="25" t="str">
        <f>IF(COUNTA(A230:C230,F230:R230)=0,"",IF(OR(A230="",B230="",C230="",COUNTIF(Projets,A230)&lt;&gt;1,COUNTIF(Personnes,C230)&lt;&gt;1),"Identité à corriger",IF(Calculs!T230&gt;0,"Charge à corriger",IF(Calculs!U230&gt;0,"Hors période", "OK"))))</f>
        <v/>
      </c>
      <c r="F230" s="22" t="n"/>
      <c r="G230" s="22" t="n"/>
      <c r="H230" s="22" t="n"/>
      <c r="I230" s="22" t="n"/>
      <c r="J230" s="22" t="n"/>
      <c r="K230" s="22" t="n"/>
      <c r="L230" s="22" t="n"/>
      <c r="M230" s="22" t="n"/>
      <c r="N230" s="22" t="n"/>
      <c r="O230" s="22" t="n"/>
      <c r="P230" s="22" t="n"/>
      <c r="Q230" s="22" t="n"/>
      <c r="R230" s="22" t="n"/>
      <c r="S230" s="21" t="n"/>
    </row>
    <row r="231" ht="28" customHeight="1">
      <c r="A231" s="21" t="n"/>
      <c r="B231" s="21" t="n"/>
      <c r="C231" s="21" t="n"/>
      <c r="D231" s="27" t="str">
        <f>IF(C231="","",IFERROR(VLOOKUP(C231,'Personnes'!$A$8:$Z$47,3,FALSE),""))</f>
        <v/>
      </c>
      <c r="E231" s="27" t="str">
        <f>IF(COUNTA(A231:C231,F231:R231)=0,"",IF(OR(A231="",B231="",C231="",COUNTIF(Projets,A231)&lt;&gt;1,COUNTIF(Personnes,C231)&lt;&gt;1),"Identité à corriger",IF(Calculs!T231&gt;0,"Charge à corriger",IF(Calculs!U231&gt;0,"Hors période", "OK"))))</f>
        <v/>
      </c>
      <c r="F231" s="22" t="n"/>
      <c r="G231" s="22" t="n"/>
      <c r="H231" s="22" t="n"/>
      <c r="I231" s="22" t="n"/>
      <c r="J231" s="22" t="n"/>
      <c r="K231" s="22" t="n"/>
      <c r="L231" s="22" t="n"/>
      <c r="M231" s="22" t="n"/>
      <c r="N231" s="22" t="n"/>
      <c r="O231" s="22" t="n"/>
      <c r="P231" s="22" t="n"/>
      <c r="Q231" s="22" t="n"/>
      <c r="R231" s="22" t="n"/>
      <c r="S231" s="21" t="n"/>
    </row>
    <row r="232" ht="28" customHeight="1">
      <c r="A232" s="21" t="n"/>
      <c r="B232" s="21" t="n"/>
      <c r="C232" s="21" t="n"/>
      <c r="D232" s="25" t="str">
        <f>IF(C232="","",IFERROR(VLOOKUP(C232,'Personnes'!$A$8:$Z$47,3,FALSE),""))</f>
        <v/>
      </c>
      <c r="E232" s="25" t="str">
        <f>IF(COUNTA(A232:C232,F232:R232)=0,"",IF(OR(A232="",B232="",C232="",COUNTIF(Projets,A232)&lt;&gt;1,COUNTIF(Personnes,C232)&lt;&gt;1),"Identité à corriger",IF(Calculs!T232&gt;0,"Charge à corriger",IF(Calculs!U232&gt;0,"Hors période", "OK"))))</f>
        <v/>
      </c>
      <c r="F232" s="22" t="n"/>
      <c r="G232" s="22" t="n"/>
      <c r="H232" s="22" t="n"/>
      <c r="I232" s="22" t="n"/>
      <c r="J232" s="22" t="n"/>
      <c r="K232" s="22" t="n"/>
      <c r="L232" s="22" t="n"/>
      <c r="M232" s="22" t="n"/>
      <c r="N232" s="22" t="n"/>
      <c r="O232" s="22" t="n"/>
      <c r="P232" s="22" t="n"/>
      <c r="Q232" s="22" t="n"/>
      <c r="R232" s="22" t="n"/>
      <c r="S232" s="21" t="n"/>
    </row>
    <row r="233" ht="28" customHeight="1">
      <c r="A233" s="21" t="n"/>
      <c r="B233" s="21" t="n"/>
      <c r="C233" s="21" t="n"/>
      <c r="D233" s="27" t="str">
        <f>IF(C233="","",IFERROR(VLOOKUP(C233,'Personnes'!$A$8:$Z$47,3,FALSE),""))</f>
        <v/>
      </c>
      <c r="E233" s="27" t="str">
        <f>IF(COUNTA(A233:C233,F233:R233)=0,"",IF(OR(A233="",B233="",C233="",COUNTIF(Projets,A233)&lt;&gt;1,COUNTIF(Personnes,C233)&lt;&gt;1),"Identité à corriger",IF(Calculs!T233&gt;0,"Charge à corriger",IF(Calculs!U233&gt;0,"Hors période", "OK"))))</f>
        <v/>
      </c>
      <c r="F233" s="22" t="n"/>
      <c r="G233" s="22" t="n"/>
      <c r="H233" s="22" t="n"/>
      <c r="I233" s="22" t="n"/>
      <c r="J233" s="22" t="n"/>
      <c r="K233" s="22" t="n"/>
      <c r="L233" s="22" t="n"/>
      <c r="M233" s="22" t="n"/>
      <c r="N233" s="22" t="n"/>
      <c r="O233" s="22" t="n"/>
      <c r="P233" s="22" t="n"/>
      <c r="Q233" s="22" t="n"/>
      <c r="R233" s="22" t="n"/>
      <c r="S233" s="21" t="n"/>
    </row>
    <row r="234" ht="28" customHeight="1">
      <c r="A234" s="21" t="n"/>
      <c r="B234" s="21" t="n"/>
      <c r="C234" s="21" t="n"/>
      <c r="D234" s="25" t="str">
        <f>IF(C234="","",IFERROR(VLOOKUP(C234,'Personnes'!$A$8:$Z$47,3,FALSE),""))</f>
        <v/>
      </c>
      <c r="E234" s="25" t="str">
        <f>IF(COUNTA(A234:C234,F234:R234)=0,"",IF(OR(A234="",B234="",C234="",COUNTIF(Projets,A234)&lt;&gt;1,COUNTIF(Personnes,C234)&lt;&gt;1),"Identité à corriger",IF(Calculs!T234&gt;0,"Charge à corriger",IF(Calculs!U234&gt;0,"Hors période", "OK"))))</f>
        <v/>
      </c>
      <c r="F234" s="22" t="n"/>
      <c r="G234" s="22" t="n"/>
      <c r="H234" s="22" t="n"/>
      <c r="I234" s="22" t="n"/>
      <c r="J234" s="22" t="n"/>
      <c r="K234" s="22" t="n"/>
      <c r="L234" s="22" t="n"/>
      <c r="M234" s="22" t="n"/>
      <c r="N234" s="22" t="n"/>
      <c r="O234" s="22" t="n"/>
      <c r="P234" s="22" t="n"/>
      <c r="Q234" s="22" t="n"/>
      <c r="R234" s="22" t="n"/>
      <c r="S234" s="21" t="n"/>
    </row>
    <row r="235" ht="28" customHeight="1">
      <c r="A235" s="21" t="n"/>
      <c r="B235" s="21" t="n"/>
      <c r="C235" s="21" t="n"/>
      <c r="D235" s="27" t="str">
        <f>IF(C235="","",IFERROR(VLOOKUP(C235,'Personnes'!$A$8:$Z$47,3,FALSE),""))</f>
        <v/>
      </c>
      <c r="E235" s="27" t="str">
        <f>IF(COUNTA(A235:C235,F235:R235)=0,"",IF(OR(A235="",B235="",C235="",COUNTIF(Projets,A235)&lt;&gt;1,COUNTIF(Personnes,C235)&lt;&gt;1),"Identité à corriger",IF(Calculs!T235&gt;0,"Charge à corriger",IF(Calculs!U235&gt;0,"Hors période", "OK"))))</f>
        <v/>
      </c>
      <c r="F235" s="22" t="n"/>
      <c r="G235" s="22" t="n"/>
      <c r="H235" s="22" t="n"/>
      <c r="I235" s="22" t="n"/>
      <c r="J235" s="22" t="n"/>
      <c r="K235" s="22" t="n"/>
      <c r="L235" s="22" t="n"/>
      <c r="M235" s="22" t="n"/>
      <c r="N235" s="22" t="n"/>
      <c r="O235" s="22" t="n"/>
      <c r="P235" s="22" t="n"/>
      <c r="Q235" s="22" t="n"/>
      <c r="R235" s="22" t="n"/>
      <c r="S235" s="21" t="n"/>
    </row>
    <row r="236" ht="28" customHeight="1">
      <c r="A236" s="21" t="n"/>
      <c r="B236" s="21" t="n"/>
      <c r="C236" s="21" t="n"/>
      <c r="D236" s="25" t="str">
        <f>IF(C236="","",IFERROR(VLOOKUP(C236,'Personnes'!$A$8:$Z$47,3,FALSE),""))</f>
        <v/>
      </c>
      <c r="E236" s="25" t="str">
        <f>IF(COUNTA(A236:C236,F236:R236)=0,"",IF(OR(A236="",B236="",C236="",COUNTIF(Projets,A236)&lt;&gt;1,COUNTIF(Personnes,C236)&lt;&gt;1),"Identité à corriger",IF(Calculs!T236&gt;0,"Charge à corriger",IF(Calculs!U236&gt;0,"Hors période", "OK"))))</f>
        <v/>
      </c>
      <c r="F236" s="22" t="n"/>
      <c r="G236" s="22" t="n"/>
      <c r="H236" s="22" t="n"/>
      <c r="I236" s="22" t="n"/>
      <c r="J236" s="22" t="n"/>
      <c r="K236" s="22" t="n"/>
      <c r="L236" s="22" t="n"/>
      <c r="M236" s="22" t="n"/>
      <c r="N236" s="22" t="n"/>
      <c r="O236" s="22" t="n"/>
      <c r="P236" s="22" t="n"/>
      <c r="Q236" s="22" t="n"/>
      <c r="R236" s="22" t="n"/>
      <c r="S236" s="21" t="n"/>
    </row>
    <row r="237" ht="28" customHeight="1">
      <c r="A237" s="21" t="n"/>
      <c r="B237" s="21" t="n"/>
      <c r="C237" s="21" t="n"/>
      <c r="D237" s="27" t="str">
        <f>IF(C237="","",IFERROR(VLOOKUP(C237,'Personnes'!$A$8:$Z$47,3,FALSE),""))</f>
        <v/>
      </c>
      <c r="E237" s="27" t="str">
        <f>IF(COUNTA(A237:C237,F237:R237)=0,"",IF(OR(A237="",B237="",C237="",COUNTIF(Projets,A237)&lt;&gt;1,COUNTIF(Personnes,C237)&lt;&gt;1),"Identité à corriger",IF(Calculs!T237&gt;0,"Charge à corriger",IF(Calculs!U237&gt;0,"Hors période", "OK"))))</f>
        <v/>
      </c>
      <c r="F237" s="22" t="n"/>
      <c r="G237" s="22" t="n"/>
      <c r="H237" s="22" t="n"/>
      <c r="I237" s="22" t="n"/>
      <c r="J237" s="22" t="n"/>
      <c r="K237" s="22" t="n"/>
      <c r="L237" s="22" t="n"/>
      <c r="M237" s="22" t="n"/>
      <c r="N237" s="22" t="n"/>
      <c r="O237" s="22" t="n"/>
      <c r="P237" s="22" t="n"/>
      <c r="Q237" s="22" t="n"/>
      <c r="R237" s="22" t="n"/>
      <c r="S237" s="21" t="n"/>
    </row>
    <row r="238" ht="28" customHeight="1">
      <c r="A238" s="21" t="n"/>
      <c r="B238" s="21" t="n"/>
      <c r="C238" s="21" t="n"/>
      <c r="D238" s="25" t="str">
        <f>IF(C238="","",IFERROR(VLOOKUP(C238,'Personnes'!$A$8:$Z$47,3,FALSE),""))</f>
        <v/>
      </c>
      <c r="E238" s="25" t="str">
        <f>IF(COUNTA(A238:C238,F238:R238)=0,"",IF(OR(A238="",B238="",C238="",COUNTIF(Projets,A238)&lt;&gt;1,COUNTIF(Personnes,C238)&lt;&gt;1),"Identité à corriger",IF(Calculs!T238&gt;0,"Charge à corriger",IF(Calculs!U238&gt;0,"Hors période", "OK"))))</f>
        <v/>
      </c>
      <c r="F238" s="22" t="n"/>
      <c r="G238" s="22" t="n"/>
      <c r="H238" s="22" t="n"/>
      <c r="I238" s="22" t="n"/>
      <c r="J238" s="22" t="n"/>
      <c r="K238" s="22" t="n"/>
      <c r="L238" s="22" t="n"/>
      <c r="M238" s="22" t="n"/>
      <c r="N238" s="22" t="n"/>
      <c r="O238" s="22" t="n"/>
      <c r="P238" s="22" t="n"/>
      <c r="Q238" s="22" t="n"/>
      <c r="R238" s="22" t="n"/>
      <c r="S238" s="21" t="n"/>
    </row>
    <row r="239" ht="28" customHeight="1">
      <c r="A239" s="21" t="n"/>
      <c r="B239" s="21" t="n"/>
      <c r="C239" s="21" t="n"/>
      <c r="D239" s="27" t="str">
        <f>IF(C239="","",IFERROR(VLOOKUP(C239,'Personnes'!$A$8:$Z$47,3,FALSE),""))</f>
        <v/>
      </c>
      <c r="E239" s="27" t="str">
        <f>IF(COUNTA(A239:C239,F239:R239)=0,"",IF(OR(A239="",B239="",C239="",COUNTIF(Projets,A239)&lt;&gt;1,COUNTIF(Personnes,C239)&lt;&gt;1),"Identité à corriger",IF(Calculs!T239&gt;0,"Charge à corriger",IF(Calculs!U239&gt;0,"Hors période", "OK"))))</f>
        <v/>
      </c>
      <c r="F239" s="22" t="n"/>
      <c r="G239" s="22" t="n"/>
      <c r="H239" s="22" t="n"/>
      <c r="I239" s="22" t="n"/>
      <c r="J239" s="22" t="n"/>
      <c r="K239" s="22" t="n"/>
      <c r="L239" s="22" t="n"/>
      <c r="M239" s="22" t="n"/>
      <c r="N239" s="22" t="n"/>
      <c r="O239" s="22" t="n"/>
      <c r="P239" s="22" t="n"/>
      <c r="Q239" s="22" t="n"/>
      <c r="R239" s="22" t="n"/>
      <c r="S239" s="21" t="n"/>
    </row>
    <row r="240" ht="28" customHeight="1">
      <c r="A240" s="21" t="n"/>
      <c r="B240" s="21" t="n"/>
      <c r="C240" s="21" t="n"/>
      <c r="D240" s="25" t="str">
        <f>IF(C240="","",IFERROR(VLOOKUP(C240,'Personnes'!$A$8:$Z$47,3,FALSE),""))</f>
        <v/>
      </c>
      <c r="E240" s="25" t="str">
        <f>IF(COUNTA(A240:C240,F240:R240)=0,"",IF(OR(A240="",B240="",C240="",COUNTIF(Projets,A240)&lt;&gt;1,COUNTIF(Personnes,C240)&lt;&gt;1),"Identité à corriger",IF(Calculs!T240&gt;0,"Charge à corriger",IF(Calculs!U240&gt;0,"Hors période", "OK"))))</f>
        <v/>
      </c>
      <c r="F240" s="22" t="n"/>
      <c r="G240" s="22" t="n"/>
      <c r="H240" s="22" t="n"/>
      <c r="I240" s="22" t="n"/>
      <c r="J240" s="22" t="n"/>
      <c r="K240" s="22" t="n"/>
      <c r="L240" s="22" t="n"/>
      <c r="M240" s="22" t="n"/>
      <c r="N240" s="22" t="n"/>
      <c r="O240" s="22" t="n"/>
      <c r="P240" s="22" t="n"/>
      <c r="Q240" s="22" t="n"/>
      <c r="R240" s="22" t="n"/>
      <c r="S240" s="21" t="n"/>
    </row>
    <row r="241" ht="28" customHeight="1">
      <c r="A241" s="21" t="n"/>
      <c r="B241" s="21" t="n"/>
      <c r="C241" s="21" t="n"/>
      <c r="D241" s="27" t="str">
        <f>IF(C241="","",IFERROR(VLOOKUP(C241,'Personnes'!$A$8:$Z$47,3,FALSE),""))</f>
        <v/>
      </c>
      <c r="E241" s="27" t="str">
        <f>IF(COUNTA(A241:C241,F241:R241)=0,"",IF(OR(A241="",B241="",C241="",COUNTIF(Projets,A241)&lt;&gt;1,COUNTIF(Personnes,C241)&lt;&gt;1),"Identité à corriger",IF(Calculs!T241&gt;0,"Charge à corriger",IF(Calculs!U241&gt;0,"Hors période", "OK"))))</f>
        <v/>
      </c>
      <c r="F241" s="22" t="n"/>
      <c r="G241" s="22" t="n"/>
      <c r="H241" s="22" t="n"/>
      <c r="I241" s="22" t="n"/>
      <c r="J241" s="22" t="n"/>
      <c r="K241" s="22" t="n"/>
      <c r="L241" s="22" t="n"/>
      <c r="M241" s="22" t="n"/>
      <c r="N241" s="22" t="n"/>
      <c r="O241" s="22" t="n"/>
      <c r="P241" s="22" t="n"/>
      <c r="Q241" s="22" t="n"/>
      <c r="R241" s="22" t="n"/>
      <c r="S241" s="21" t="n"/>
    </row>
    <row r="242" ht="28" customHeight="1">
      <c r="A242" s="21" t="n"/>
      <c r="B242" s="21" t="n"/>
      <c r="C242" s="21" t="n"/>
      <c r="D242" s="25" t="str">
        <f>IF(C242="","",IFERROR(VLOOKUP(C242,'Personnes'!$A$8:$Z$47,3,FALSE),""))</f>
        <v/>
      </c>
      <c r="E242" s="25" t="str">
        <f>IF(COUNTA(A242:C242,F242:R242)=0,"",IF(OR(A242="",B242="",C242="",COUNTIF(Projets,A242)&lt;&gt;1,COUNTIF(Personnes,C242)&lt;&gt;1),"Identité à corriger",IF(Calculs!T242&gt;0,"Charge à corriger",IF(Calculs!U242&gt;0,"Hors période", "OK"))))</f>
        <v/>
      </c>
      <c r="F242" s="22" t="n"/>
      <c r="G242" s="22" t="n"/>
      <c r="H242" s="22" t="n"/>
      <c r="I242" s="22" t="n"/>
      <c r="J242" s="22" t="n"/>
      <c r="K242" s="22" t="n"/>
      <c r="L242" s="22" t="n"/>
      <c r="M242" s="22" t="n"/>
      <c r="N242" s="22" t="n"/>
      <c r="O242" s="22" t="n"/>
      <c r="P242" s="22" t="n"/>
      <c r="Q242" s="22" t="n"/>
      <c r="R242" s="22" t="n"/>
      <c r="S242" s="21" t="n"/>
    </row>
    <row r="243" ht="28" customHeight="1">
      <c r="A243" s="21" t="n"/>
      <c r="B243" s="21" t="n"/>
      <c r="C243" s="21" t="n"/>
      <c r="D243" s="27" t="str">
        <f>IF(C243="","",IFERROR(VLOOKUP(C243,'Personnes'!$A$8:$Z$47,3,FALSE),""))</f>
        <v/>
      </c>
      <c r="E243" s="27" t="str">
        <f>IF(COUNTA(A243:C243,F243:R243)=0,"",IF(OR(A243="",B243="",C243="",COUNTIF(Projets,A243)&lt;&gt;1,COUNTIF(Personnes,C243)&lt;&gt;1),"Identité à corriger",IF(Calculs!T243&gt;0,"Charge à corriger",IF(Calculs!U243&gt;0,"Hors période", "OK"))))</f>
        <v/>
      </c>
      <c r="F243" s="22" t="n"/>
      <c r="G243" s="22" t="n"/>
      <c r="H243" s="22" t="n"/>
      <c r="I243" s="22" t="n"/>
      <c r="J243" s="22" t="n"/>
      <c r="K243" s="22" t="n"/>
      <c r="L243" s="22" t="n"/>
      <c r="M243" s="22" t="n"/>
      <c r="N243" s="22" t="n"/>
      <c r="O243" s="22" t="n"/>
      <c r="P243" s="22" t="n"/>
      <c r="Q243" s="22" t="n"/>
      <c r="R243" s="22" t="n"/>
      <c r="S243" s="21" t="n"/>
    </row>
    <row r="244" ht="28" customHeight="1">
      <c r="A244" s="21" t="n"/>
      <c r="B244" s="21" t="n"/>
      <c r="C244" s="21" t="n"/>
      <c r="D244" s="25" t="str">
        <f>IF(C244="","",IFERROR(VLOOKUP(C244,'Personnes'!$A$8:$Z$47,3,FALSE),""))</f>
        <v/>
      </c>
      <c r="E244" s="25" t="str">
        <f>IF(COUNTA(A244:C244,F244:R244)=0,"",IF(OR(A244="",B244="",C244="",COUNTIF(Projets,A244)&lt;&gt;1,COUNTIF(Personnes,C244)&lt;&gt;1),"Identité à corriger",IF(Calculs!T244&gt;0,"Charge à corriger",IF(Calculs!U244&gt;0,"Hors période", "OK"))))</f>
        <v/>
      </c>
      <c r="F244" s="22" t="n"/>
      <c r="G244" s="22" t="n"/>
      <c r="H244" s="22" t="n"/>
      <c r="I244" s="22" t="n"/>
      <c r="J244" s="22" t="n"/>
      <c r="K244" s="22" t="n"/>
      <c r="L244" s="22" t="n"/>
      <c r="M244" s="22" t="n"/>
      <c r="N244" s="22" t="n"/>
      <c r="O244" s="22" t="n"/>
      <c r="P244" s="22" t="n"/>
      <c r="Q244" s="22" t="n"/>
      <c r="R244" s="22" t="n"/>
      <c r="S244" s="21" t="n"/>
    </row>
    <row r="245" ht="28" customHeight="1">
      <c r="A245" s="21" t="n"/>
      <c r="B245" s="21" t="n"/>
      <c r="C245" s="21" t="n"/>
      <c r="D245" s="27" t="str">
        <f>IF(C245="","",IFERROR(VLOOKUP(C245,'Personnes'!$A$8:$Z$47,3,FALSE),""))</f>
        <v/>
      </c>
      <c r="E245" s="27" t="str">
        <f>IF(COUNTA(A245:C245,F245:R245)=0,"",IF(OR(A245="",B245="",C245="",COUNTIF(Projets,A245)&lt;&gt;1,COUNTIF(Personnes,C245)&lt;&gt;1),"Identité à corriger",IF(Calculs!T245&gt;0,"Charge à corriger",IF(Calculs!U245&gt;0,"Hors période", "OK"))))</f>
        <v/>
      </c>
      <c r="F245" s="22" t="n"/>
      <c r="G245" s="22" t="n"/>
      <c r="H245" s="22" t="n"/>
      <c r="I245" s="22" t="n"/>
      <c r="J245" s="22" t="n"/>
      <c r="K245" s="22" t="n"/>
      <c r="L245" s="22" t="n"/>
      <c r="M245" s="22" t="n"/>
      <c r="N245" s="22" t="n"/>
      <c r="O245" s="22" t="n"/>
      <c r="P245" s="22" t="n"/>
      <c r="Q245" s="22" t="n"/>
      <c r="R245" s="22" t="n"/>
      <c r="S245" s="21" t="n"/>
    </row>
    <row r="246" ht="28" customHeight="1">
      <c r="A246" s="21" t="n"/>
      <c r="B246" s="21" t="n"/>
      <c r="C246" s="21" t="n"/>
      <c r="D246" s="25" t="str">
        <f>IF(C246="","",IFERROR(VLOOKUP(C246,'Personnes'!$A$8:$Z$47,3,FALSE),""))</f>
        <v/>
      </c>
      <c r="E246" s="25" t="str">
        <f>IF(COUNTA(A246:C246,F246:R246)=0,"",IF(OR(A246="",B246="",C246="",COUNTIF(Projets,A246)&lt;&gt;1,COUNTIF(Personnes,C246)&lt;&gt;1),"Identité à corriger",IF(Calculs!T246&gt;0,"Charge à corriger",IF(Calculs!U246&gt;0,"Hors période", "OK"))))</f>
        <v/>
      </c>
      <c r="F246" s="22" t="n"/>
      <c r="G246" s="22" t="n"/>
      <c r="H246" s="22" t="n"/>
      <c r="I246" s="22" t="n"/>
      <c r="J246" s="22" t="n"/>
      <c r="K246" s="22" t="n"/>
      <c r="L246" s="22" t="n"/>
      <c r="M246" s="22" t="n"/>
      <c r="N246" s="22" t="n"/>
      <c r="O246" s="22" t="n"/>
      <c r="P246" s="22" t="n"/>
      <c r="Q246" s="22" t="n"/>
      <c r="R246" s="22" t="n"/>
      <c r="S246" s="21" t="n"/>
    </row>
    <row r="247" ht="28" customHeight="1">
      <c r="A247" s="21" t="n"/>
      <c r="B247" s="21" t="n"/>
      <c r="C247" s="21" t="n"/>
      <c r="D247" s="27" t="str">
        <f>IF(C247="","",IFERROR(VLOOKUP(C247,'Personnes'!$A$8:$Z$47,3,FALSE),""))</f>
        <v/>
      </c>
      <c r="E247" s="27" t="str">
        <f>IF(COUNTA(A247:C247,F247:R247)=0,"",IF(OR(A247="",B247="",C247="",COUNTIF(Projets,A247)&lt;&gt;1,COUNTIF(Personnes,C247)&lt;&gt;1),"Identité à corriger",IF(Calculs!T247&gt;0,"Charge à corriger",IF(Calculs!U247&gt;0,"Hors période", "OK"))))</f>
        <v/>
      </c>
      <c r="F247" s="22" t="n"/>
      <c r="G247" s="22" t="n"/>
      <c r="H247" s="22" t="n"/>
      <c r="I247" s="22" t="n"/>
      <c r="J247" s="22" t="n"/>
      <c r="K247" s="22" t="n"/>
      <c r="L247" s="22" t="n"/>
      <c r="M247" s="22" t="n"/>
      <c r="N247" s="22" t="n"/>
      <c r="O247" s="22" t="n"/>
      <c r="P247" s="22" t="n"/>
      <c r="Q247" s="22" t="n"/>
      <c r="R247" s="22" t="n"/>
      <c r="S247" s="21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S2"/>
    <mergeCell ref="A4:S5"/>
  </mergeCells>
  <conditionalFormatting sqref="E8:E247">
    <cfRule type="expression" priority="1" dxfId="0">
      <formula>AND(E8&lt;&gt;"",E8&lt;&gt;"OK")</formula>
    </cfRule>
  </conditionalFormatting>
  <dataValidations count="3">
    <dataValidation sqref="A8:A247" showDropDown="0" showInputMessage="0" showErrorMessage="1" allowBlank="1" errorTitle="Saisie à corriger" error="Utilisez une valeur autorisée. Les contrôles repèrent aussi les erreurs collées." type="list" errorStyle="stop">
      <formula1>=Projets</formula1>
    </dataValidation>
    <dataValidation sqref="C8:C247" showDropDown="0" showInputMessage="0" showErrorMessage="1" allowBlank="1" errorTitle="Saisie à corriger" error="Utilisez une valeur autorisée. Les contrôles repèrent aussi les erreurs collées." type="list" errorStyle="stop">
      <formula1>=Personnes</formula1>
    </dataValidation>
    <dataValidation sqref="F8:R247" showDropDown="0" showInputMessage="0" showErrorMessage="1" allowBlank="1" errorTitle="Saisie à corriger" error="Utilisez une valeur autorisée. Les contrôles repèrent aussi les erreurs collées." type="custom" errorStyle="stop">
      <formula1>OR(F8="",AND(ISNUMBER(F8),F8&gt;=0),F8="S",F8="M",F8="L",F8="XL")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O4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25" customHeight="1">
      <c r="A1" s="1" t="inlineStr">
        <is>
          <t>05 / Variations de capacité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Vide = capacité nette habituelle. Un nombre, y compris 0, remplace le défaut pour cette semaine après run, engagements et absences. Ne déduisez pas deux fois le run.</t>
        </is>
      </c>
    </row>
    <row r="5" ht="20" customHeight="1"/>
    <row r="7" ht="28" customHeight="1">
      <c r="A7" s="23" t="inlineStr">
        <is>
          <t>Personne ID</t>
        </is>
      </c>
      <c r="B7" s="23" t="inlineStr">
        <is>
          <t>Nom</t>
        </is>
      </c>
      <c r="C7" s="29" t="n">
        <f>IFERROR(IF(1&lt;=Paramètres!$B$9,Paramètres!$B$8+0,""),"")</f>
        <v>46300</v>
      </c>
      <c r="D7" s="29" t="n">
        <f>IFERROR(IF(2&lt;=Paramètres!$B$9,Paramètres!$B$8+7,""),"")</f>
        <v>46307</v>
      </c>
      <c r="E7" s="29" t="n">
        <f>IFERROR(IF(3&lt;=Paramètres!$B$9,Paramètres!$B$8+14,""),"")</f>
        <v>46314</v>
      </c>
      <c r="F7" s="29" t="n">
        <f>IFERROR(IF(4&lt;=Paramètres!$B$9,Paramètres!$B$8+21,""),"")</f>
        <v>46321</v>
      </c>
      <c r="G7" s="29" t="n">
        <f>IFERROR(IF(5&lt;=Paramètres!$B$9,Paramètres!$B$8+28,""),"")</f>
        <v>46328</v>
      </c>
      <c r="H7" s="29" t="n">
        <f>IFERROR(IF(6&lt;=Paramètres!$B$9,Paramètres!$B$8+35,""),"")</f>
        <v>46335</v>
      </c>
      <c r="I7" s="29" t="n">
        <f>IFERROR(IF(7&lt;=Paramètres!$B$9,Paramètres!$B$8+42,""),"")</f>
        <v>46342</v>
      </c>
      <c r="J7" s="29" t="n">
        <f>IFERROR(IF(8&lt;=Paramètres!$B$9,Paramètres!$B$8+49,""),"")</f>
        <v>46349</v>
      </c>
      <c r="K7" s="29" t="n">
        <f>IFERROR(IF(9&lt;=Paramètres!$B$9,Paramètres!$B$8+56,""),"")</f>
        <v>46356</v>
      </c>
      <c r="L7" s="29" t="n">
        <f>IFERROR(IF(10&lt;=Paramètres!$B$9,Paramètres!$B$8+63,""),"")</f>
        <v>46363</v>
      </c>
      <c r="M7" s="29" t="n">
        <f>IFERROR(IF(11&lt;=Paramètres!$B$9,Paramètres!$B$8+70,""),"")</f>
        <v>46370</v>
      </c>
      <c r="N7" s="29" t="n">
        <f>IFERROR(IF(12&lt;=Paramètres!$B$9,Paramètres!$B$8+77,""),"")</f>
        <v>46377</v>
      </c>
      <c r="O7" s="29" t="n">
        <f>IFERROR(IF(13&lt;=Paramètres!$B$9,Paramètres!$B$8+84,""),"")</f>
        <v>46384</v>
      </c>
    </row>
    <row r="8" ht="28" customHeight="1">
      <c r="A8" s="25" t="str">
        <f>IF(Personnes!A8="","",Personnes!A8)</f>
        <v/>
      </c>
      <c r="B8" s="25" t="str">
        <f>IF(Personnes!A8="","",Personnes!B8)</f>
        <v/>
      </c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</row>
    <row r="9" ht="28" customHeight="1">
      <c r="A9" s="27" t="str">
        <f>IF(Personnes!A9="","",Personnes!A9)</f>
        <v/>
      </c>
      <c r="B9" s="27" t="str">
        <f>IF(Personnes!A9="","",Personnes!B9)</f>
        <v/>
      </c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</row>
    <row r="10" ht="28" customHeight="1">
      <c r="A10" s="25" t="str">
        <f>IF(Personnes!A10="","",Personnes!A10)</f>
        <v/>
      </c>
      <c r="B10" s="25" t="str">
        <f>IF(Personnes!A10="","",Personnes!B10)</f>
        <v/>
      </c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</row>
    <row r="11" ht="28" customHeight="1">
      <c r="A11" s="27" t="str">
        <f>IF(Personnes!A11="","",Personnes!A11)</f>
        <v/>
      </c>
      <c r="B11" s="27" t="str">
        <f>IF(Personnes!A11="","",Personnes!B11)</f>
        <v/>
      </c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</row>
    <row r="12" ht="28" customHeight="1">
      <c r="A12" s="25" t="str">
        <f>IF(Personnes!A12="","",Personnes!A12)</f>
        <v/>
      </c>
      <c r="B12" s="25" t="str">
        <f>IF(Personnes!A12="","",Personnes!B12)</f>
        <v/>
      </c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</row>
    <row r="13" ht="28" customHeight="1">
      <c r="A13" s="27" t="str">
        <f>IF(Personnes!A13="","",Personnes!A13)</f>
        <v/>
      </c>
      <c r="B13" s="27" t="str">
        <f>IF(Personnes!A13="","",Personnes!B13)</f>
        <v/>
      </c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</row>
    <row r="14" ht="28" customHeight="1">
      <c r="A14" s="25" t="str">
        <f>IF(Personnes!A14="","",Personnes!A14)</f>
        <v/>
      </c>
      <c r="B14" s="25" t="str">
        <f>IF(Personnes!A14="","",Personnes!B14)</f>
        <v/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</row>
    <row r="15" ht="28" customHeight="1">
      <c r="A15" s="27" t="str">
        <f>IF(Personnes!A15="","",Personnes!A15)</f>
        <v/>
      </c>
      <c r="B15" s="27" t="str">
        <f>IF(Personnes!A15="","",Personnes!B15)</f>
        <v/>
      </c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</row>
    <row r="16" ht="28" customHeight="1">
      <c r="A16" s="25" t="str">
        <f>IF(Personnes!A16="","",Personnes!A16)</f>
        <v/>
      </c>
      <c r="B16" s="25" t="str">
        <f>IF(Personnes!A16="","",Personnes!B16)</f>
        <v/>
      </c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</row>
    <row r="17" ht="28" customHeight="1">
      <c r="A17" s="27" t="str">
        <f>IF(Personnes!A17="","",Personnes!A17)</f>
        <v/>
      </c>
      <c r="B17" s="27" t="str">
        <f>IF(Personnes!A17="","",Personnes!B17)</f>
        <v/>
      </c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</row>
    <row r="18" ht="28" customHeight="1">
      <c r="A18" s="25" t="str">
        <f>IF(Personnes!A18="","",Personnes!A18)</f>
        <v/>
      </c>
      <c r="B18" s="25" t="str">
        <f>IF(Personnes!A18="","",Personnes!B18)</f>
        <v/>
      </c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</row>
    <row r="19" ht="28" customHeight="1">
      <c r="A19" s="27" t="str">
        <f>IF(Personnes!A19="","",Personnes!A19)</f>
        <v/>
      </c>
      <c r="B19" s="27" t="str">
        <f>IF(Personnes!A19="","",Personnes!B19)</f>
        <v/>
      </c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</row>
    <row r="20" ht="28" customHeight="1">
      <c r="A20" s="25" t="str">
        <f>IF(Personnes!A20="","",Personnes!A20)</f>
        <v/>
      </c>
      <c r="B20" s="25" t="str">
        <f>IF(Personnes!A20="","",Personnes!B20)</f>
        <v/>
      </c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</row>
    <row r="21" ht="28" customHeight="1">
      <c r="A21" s="27" t="str">
        <f>IF(Personnes!A21="","",Personnes!A21)</f>
        <v/>
      </c>
      <c r="B21" s="27" t="str">
        <f>IF(Personnes!A21="","",Personnes!B21)</f>
        <v/>
      </c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</row>
    <row r="22" ht="28" customHeight="1">
      <c r="A22" s="25" t="str">
        <f>IF(Personnes!A22="","",Personnes!A22)</f>
        <v/>
      </c>
      <c r="B22" s="25" t="str">
        <f>IF(Personnes!A22="","",Personnes!B22)</f>
        <v/>
      </c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</row>
    <row r="23" ht="28" customHeight="1">
      <c r="A23" s="27" t="str">
        <f>IF(Personnes!A23="","",Personnes!A23)</f>
        <v/>
      </c>
      <c r="B23" s="27" t="str">
        <f>IF(Personnes!A23="","",Personnes!B23)</f>
        <v/>
      </c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</row>
    <row r="24" ht="28" customHeight="1">
      <c r="A24" s="25" t="str">
        <f>IF(Personnes!A24="","",Personnes!A24)</f>
        <v/>
      </c>
      <c r="B24" s="25" t="str">
        <f>IF(Personnes!A24="","",Personnes!B24)</f>
        <v/>
      </c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</row>
    <row r="25" ht="28" customHeight="1">
      <c r="A25" s="27" t="str">
        <f>IF(Personnes!A25="","",Personnes!A25)</f>
        <v/>
      </c>
      <c r="B25" s="27" t="str">
        <f>IF(Personnes!A25="","",Personnes!B25)</f>
        <v/>
      </c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</row>
    <row r="26" ht="28" customHeight="1">
      <c r="A26" s="25" t="str">
        <f>IF(Personnes!A26="","",Personnes!A26)</f>
        <v/>
      </c>
      <c r="B26" s="25" t="str">
        <f>IF(Personnes!A26="","",Personnes!B26)</f>
        <v/>
      </c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</row>
    <row r="27" ht="28" customHeight="1">
      <c r="A27" s="27" t="str">
        <f>IF(Personnes!A27="","",Personnes!A27)</f>
        <v/>
      </c>
      <c r="B27" s="27" t="str">
        <f>IF(Personnes!A27="","",Personnes!B27)</f>
        <v/>
      </c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</row>
    <row r="28" ht="28" customHeight="1">
      <c r="A28" s="25" t="str">
        <f>IF(Personnes!A28="","",Personnes!A28)</f>
        <v/>
      </c>
      <c r="B28" s="25" t="str">
        <f>IF(Personnes!A28="","",Personnes!B28)</f>
        <v/>
      </c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</row>
    <row r="29" ht="28" customHeight="1">
      <c r="A29" s="27" t="str">
        <f>IF(Personnes!A29="","",Personnes!A29)</f>
        <v/>
      </c>
      <c r="B29" s="27" t="str">
        <f>IF(Personnes!A29="","",Personnes!B29)</f>
        <v/>
      </c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</row>
    <row r="30" ht="28" customHeight="1">
      <c r="A30" s="25" t="str">
        <f>IF(Personnes!A30="","",Personnes!A30)</f>
        <v/>
      </c>
      <c r="B30" s="25" t="str">
        <f>IF(Personnes!A30="","",Personnes!B30)</f>
        <v/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</row>
    <row r="31" ht="28" customHeight="1">
      <c r="A31" s="27" t="str">
        <f>IF(Personnes!A31="","",Personnes!A31)</f>
        <v/>
      </c>
      <c r="B31" s="27" t="str">
        <f>IF(Personnes!A31="","",Personnes!B31)</f>
        <v/>
      </c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</row>
    <row r="32" ht="28" customHeight="1">
      <c r="A32" s="25" t="str">
        <f>IF(Personnes!A32="","",Personnes!A32)</f>
        <v/>
      </c>
      <c r="B32" s="25" t="str">
        <f>IF(Personnes!A32="","",Personnes!B32)</f>
        <v/>
      </c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</row>
    <row r="33" ht="28" customHeight="1">
      <c r="A33" s="27" t="str">
        <f>IF(Personnes!A33="","",Personnes!A33)</f>
        <v/>
      </c>
      <c r="B33" s="27" t="str">
        <f>IF(Personnes!A33="","",Personnes!B33)</f>
        <v/>
      </c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</row>
    <row r="34" ht="28" customHeight="1">
      <c r="A34" s="25" t="str">
        <f>IF(Personnes!A34="","",Personnes!A34)</f>
        <v/>
      </c>
      <c r="B34" s="25" t="str">
        <f>IF(Personnes!A34="","",Personnes!B34)</f>
        <v/>
      </c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</row>
    <row r="35" ht="28" customHeight="1">
      <c r="A35" s="27" t="str">
        <f>IF(Personnes!A35="","",Personnes!A35)</f>
        <v/>
      </c>
      <c r="B35" s="27" t="str">
        <f>IF(Personnes!A35="","",Personnes!B35)</f>
        <v/>
      </c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</row>
    <row r="36" ht="28" customHeight="1">
      <c r="A36" s="25" t="str">
        <f>IF(Personnes!A36="","",Personnes!A36)</f>
        <v/>
      </c>
      <c r="B36" s="25" t="str">
        <f>IF(Personnes!A36="","",Personnes!B36)</f>
        <v/>
      </c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</row>
    <row r="37" ht="28" customHeight="1">
      <c r="A37" s="27" t="str">
        <f>IF(Personnes!A37="","",Personnes!A37)</f>
        <v/>
      </c>
      <c r="B37" s="27" t="str">
        <f>IF(Personnes!A37="","",Personnes!B37)</f>
        <v/>
      </c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22" t="n"/>
    </row>
    <row r="38" ht="28" customHeight="1">
      <c r="A38" s="25" t="str">
        <f>IF(Personnes!A38="","",Personnes!A38)</f>
        <v/>
      </c>
      <c r="B38" s="25" t="str">
        <f>IF(Personnes!A38="","",Personnes!B38)</f>
        <v/>
      </c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</row>
    <row r="39" ht="28" customHeight="1">
      <c r="A39" s="27" t="str">
        <f>IF(Personnes!A39="","",Personnes!A39)</f>
        <v/>
      </c>
      <c r="B39" s="27" t="str">
        <f>IF(Personnes!A39="","",Personnes!B39)</f>
        <v/>
      </c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</row>
    <row r="40" ht="28" customHeight="1">
      <c r="A40" s="25" t="str">
        <f>IF(Personnes!A40="","",Personnes!A40)</f>
        <v/>
      </c>
      <c r="B40" s="25" t="str">
        <f>IF(Personnes!A40="","",Personnes!B40)</f>
        <v/>
      </c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</row>
    <row r="41" ht="28" customHeight="1">
      <c r="A41" s="27" t="str">
        <f>IF(Personnes!A41="","",Personnes!A41)</f>
        <v/>
      </c>
      <c r="B41" s="27" t="str">
        <f>IF(Personnes!A41="","",Personnes!B41)</f>
        <v/>
      </c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</row>
    <row r="42" ht="28" customHeight="1">
      <c r="A42" s="25" t="str">
        <f>IF(Personnes!A42="","",Personnes!A42)</f>
        <v/>
      </c>
      <c r="B42" s="25" t="str">
        <f>IF(Personnes!A42="","",Personnes!B42)</f>
        <v/>
      </c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</row>
    <row r="43" ht="28" customHeight="1">
      <c r="A43" s="27" t="str">
        <f>IF(Personnes!A43="","",Personnes!A43)</f>
        <v/>
      </c>
      <c r="B43" s="27" t="str">
        <f>IF(Personnes!A43="","",Personnes!B43)</f>
        <v/>
      </c>
      <c r="C43" s="22" t="n"/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</row>
    <row r="44" ht="28" customHeight="1">
      <c r="A44" s="25" t="str">
        <f>IF(Personnes!A44="","",Personnes!A44)</f>
        <v/>
      </c>
      <c r="B44" s="25" t="str">
        <f>IF(Personnes!A44="","",Personnes!B44)</f>
        <v/>
      </c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</row>
    <row r="45" ht="28" customHeight="1">
      <c r="A45" s="27" t="str">
        <f>IF(Personnes!A45="","",Personnes!A45)</f>
        <v/>
      </c>
      <c r="B45" s="27" t="str">
        <f>IF(Personnes!A45="","",Personnes!B45)</f>
        <v/>
      </c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</row>
    <row r="46" ht="28" customHeight="1">
      <c r="A46" s="25" t="str">
        <f>IF(Personnes!A46="","",Personnes!A46)</f>
        <v/>
      </c>
      <c r="B46" s="25" t="str">
        <f>IF(Personnes!A46="","",Personnes!B46)</f>
        <v/>
      </c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</row>
    <row r="47" ht="28" customHeight="1">
      <c r="A47" s="27" t="str">
        <f>IF(Personnes!A47="","",Personnes!A47)</f>
        <v/>
      </c>
      <c r="B47" s="27" t="str">
        <f>IF(Personnes!A47="","",Personnes!B47)</f>
        <v/>
      </c>
      <c r="C47" s="22" t="n"/>
      <c r="D47" s="22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O2"/>
    <mergeCell ref="A4:O5"/>
  </mergeCells>
  <dataValidations count="1">
    <dataValidation sqref="C8:O47" showDropDown="0" showInputMessage="0" showErrorMessage="1" allowBlank="1" errorTitle="Saisie à corriger" error="Utilisez une valeur autorisée. Les contrôles repèrent aussi les erreurs collées." type="decimal" errorStyle="stop" operator="greaterThanOrEqual">
      <formula1>0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O7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25" customHeight="1">
      <c r="A1" s="1" t="inlineStr">
        <is>
          <t>06 / Charge et marge par équipe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Les trois grilles suivent le scénario actif. Une marge négative signale un dépassement sur la semaine, même si le total de période est positif.</t>
        </is>
      </c>
    </row>
    <row r="5" ht="20" customHeight="1"/>
    <row r="7" ht="28" customHeight="1">
      <c r="A7" s="23" t="inlineStr">
        <is>
          <t>CAPACITÉ DISPONIBLE</t>
        </is>
      </c>
      <c r="B7" s="23" t="inlineStr">
        <is>
          <t>Nom / équipe</t>
        </is>
      </c>
      <c r="C7" s="29" t="n">
        <f>IFERROR(IF(1&lt;=Paramètres!$B$9,Paramètres!$B$8+0,""),"")</f>
        <v>46300</v>
      </c>
      <c r="D7" s="29" t="n">
        <f>IFERROR(IF(2&lt;=Paramètres!$B$9,Paramètres!$B$8+7,""),"")</f>
        <v>46307</v>
      </c>
      <c r="E7" s="29" t="n">
        <f>IFERROR(IF(3&lt;=Paramètres!$B$9,Paramètres!$B$8+14,""),"")</f>
        <v>46314</v>
      </c>
      <c r="F7" s="29" t="n">
        <f>IFERROR(IF(4&lt;=Paramètres!$B$9,Paramètres!$B$8+21,""),"")</f>
        <v>46321</v>
      </c>
      <c r="G7" s="29" t="n">
        <f>IFERROR(IF(5&lt;=Paramètres!$B$9,Paramètres!$B$8+28,""),"")</f>
        <v>46328</v>
      </c>
      <c r="H7" s="29" t="n">
        <f>IFERROR(IF(6&lt;=Paramètres!$B$9,Paramètres!$B$8+35,""),"")</f>
        <v>46335</v>
      </c>
      <c r="I7" s="29" t="n">
        <f>IFERROR(IF(7&lt;=Paramètres!$B$9,Paramètres!$B$8+42,""),"")</f>
        <v>46342</v>
      </c>
      <c r="J7" s="29" t="n">
        <f>IFERROR(IF(8&lt;=Paramètres!$B$9,Paramètres!$B$8+49,""),"")</f>
        <v>46349</v>
      </c>
      <c r="K7" s="29" t="n">
        <f>IFERROR(IF(9&lt;=Paramètres!$B$9,Paramètres!$B$8+56,""),"")</f>
        <v>46356</v>
      </c>
      <c r="L7" s="29" t="n">
        <f>IFERROR(IF(10&lt;=Paramètres!$B$9,Paramètres!$B$8+63,""),"")</f>
        <v>46363</v>
      </c>
      <c r="M7" s="29" t="n">
        <f>IFERROR(IF(11&lt;=Paramètres!$B$9,Paramètres!$B$8+70,""),"")</f>
        <v>46370</v>
      </c>
      <c r="N7" s="29" t="n">
        <f>IFERROR(IF(12&lt;=Paramètres!$B$9,Paramètres!$B$8+77,""),"")</f>
        <v>46377</v>
      </c>
      <c r="O7" s="29" t="n">
        <f>IFERROR(IF(13&lt;=Paramètres!$B$9,Paramètres!$B$8+84,""),"")</f>
        <v>46384</v>
      </c>
    </row>
    <row r="8" ht="28" customHeight="1">
      <c r="A8" s="25" t="str">
        <f>IF(Paramètres!F8="","",Paramètres!F8)</f>
        <v/>
      </c>
      <c r="B8" s="25" t="str">
        <f>IF(A8="","","jours / semaine")</f>
        <v/>
      </c>
      <c r="C8" s="24" t="str">
        <f>IF(OR($A8="",1&gt;Paramètres!$B$9),"",SUMIF(Personnes!$C$8:$C$47,$A8,'Planning par personne'!C$8:C$47))</f>
        <v/>
      </c>
      <c r="D8" s="24" t="str">
        <f>IF(OR($A8="",2&gt;Paramètres!$B$9),"",SUMIF(Personnes!$C$8:$C$47,$A8,'Planning par personne'!D$8:D$47))</f>
        <v/>
      </c>
      <c r="E8" s="24" t="str">
        <f>IF(OR($A8="",3&gt;Paramètres!$B$9),"",SUMIF(Personnes!$C$8:$C$47,$A8,'Planning par personne'!E$8:E$47))</f>
        <v/>
      </c>
      <c r="F8" s="24" t="str">
        <f>IF(OR($A8="",4&gt;Paramètres!$B$9),"",SUMIF(Personnes!$C$8:$C$47,$A8,'Planning par personne'!F$8:F$47))</f>
        <v/>
      </c>
      <c r="G8" s="24" t="str">
        <f>IF(OR($A8="",5&gt;Paramètres!$B$9),"",SUMIF(Personnes!$C$8:$C$47,$A8,'Planning par personne'!G$8:G$47))</f>
        <v/>
      </c>
      <c r="H8" s="24" t="str">
        <f>IF(OR($A8="",6&gt;Paramètres!$B$9),"",SUMIF(Personnes!$C$8:$C$47,$A8,'Planning par personne'!H$8:H$47))</f>
        <v/>
      </c>
      <c r="I8" s="24" t="str">
        <f>IF(OR($A8="",7&gt;Paramètres!$B$9),"",SUMIF(Personnes!$C$8:$C$47,$A8,'Planning par personne'!I$8:I$47))</f>
        <v/>
      </c>
      <c r="J8" s="24" t="str">
        <f>IF(OR($A8="",8&gt;Paramètres!$B$9),"",SUMIF(Personnes!$C$8:$C$47,$A8,'Planning par personne'!J$8:J$47))</f>
        <v/>
      </c>
      <c r="K8" s="24" t="str">
        <f>IF(OR($A8="",9&gt;Paramètres!$B$9),"",SUMIF(Personnes!$C$8:$C$47,$A8,'Planning par personne'!K$8:K$47))</f>
        <v/>
      </c>
      <c r="L8" s="24" t="str">
        <f>IF(OR($A8="",10&gt;Paramètres!$B$9),"",SUMIF(Personnes!$C$8:$C$47,$A8,'Planning par personne'!L$8:L$47))</f>
        <v/>
      </c>
      <c r="M8" s="24" t="str">
        <f>IF(OR($A8="",11&gt;Paramètres!$B$9),"",SUMIF(Personnes!$C$8:$C$47,$A8,'Planning par personne'!M$8:M$47))</f>
        <v/>
      </c>
      <c r="N8" s="24" t="str">
        <f>IF(OR($A8="",12&gt;Paramètres!$B$9),"",SUMIF(Personnes!$C$8:$C$47,$A8,'Planning par personne'!N$8:N$47))</f>
        <v/>
      </c>
      <c r="O8" s="24" t="str">
        <f>IF(OR($A8="",13&gt;Paramètres!$B$9),"",SUMIF(Personnes!$C$8:$C$47,$A8,'Planning par personne'!O$8:O$47))</f>
        <v/>
      </c>
    </row>
    <row r="9" ht="28" customHeight="1">
      <c r="A9" s="27" t="str">
        <f>IF(Paramètres!F9="","",Paramètres!F9)</f>
        <v/>
      </c>
      <c r="B9" s="27" t="str">
        <f>IF(A9="","","jours / semaine")</f>
        <v/>
      </c>
      <c r="C9" s="26" t="str">
        <f>IF(OR($A9="",1&gt;Paramètres!$B$9),"",SUMIF(Personnes!$C$8:$C$47,$A9,'Planning par personne'!C$8:C$47))</f>
        <v/>
      </c>
      <c r="D9" s="26" t="str">
        <f>IF(OR($A9="",2&gt;Paramètres!$B$9),"",SUMIF(Personnes!$C$8:$C$47,$A9,'Planning par personne'!D$8:D$47))</f>
        <v/>
      </c>
      <c r="E9" s="26" t="str">
        <f>IF(OR($A9="",3&gt;Paramètres!$B$9),"",SUMIF(Personnes!$C$8:$C$47,$A9,'Planning par personne'!E$8:E$47))</f>
        <v/>
      </c>
      <c r="F9" s="26" t="str">
        <f>IF(OR($A9="",4&gt;Paramètres!$B$9),"",SUMIF(Personnes!$C$8:$C$47,$A9,'Planning par personne'!F$8:F$47))</f>
        <v/>
      </c>
      <c r="G9" s="26" t="str">
        <f>IF(OR($A9="",5&gt;Paramètres!$B$9),"",SUMIF(Personnes!$C$8:$C$47,$A9,'Planning par personne'!G$8:G$47))</f>
        <v/>
      </c>
      <c r="H9" s="26" t="str">
        <f>IF(OR($A9="",6&gt;Paramètres!$B$9),"",SUMIF(Personnes!$C$8:$C$47,$A9,'Planning par personne'!H$8:H$47))</f>
        <v/>
      </c>
      <c r="I9" s="26" t="str">
        <f>IF(OR($A9="",7&gt;Paramètres!$B$9),"",SUMIF(Personnes!$C$8:$C$47,$A9,'Planning par personne'!I$8:I$47))</f>
        <v/>
      </c>
      <c r="J9" s="26" t="str">
        <f>IF(OR($A9="",8&gt;Paramètres!$B$9),"",SUMIF(Personnes!$C$8:$C$47,$A9,'Planning par personne'!J$8:J$47))</f>
        <v/>
      </c>
      <c r="K9" s="26" t="str">
        <f>IF(OR($A9="",9&gt;Paramètres!$B$9),"",SUMIF(Personnes!$C$8:$C$47,$A9,'Planning par personne'!K$8:K$47))</f>
        <v/>
      </c>
      <c r="L9" s="26" t="str">
        <f>IF(OR($A9="",10&gt;Paramètres!$B$9),"",SUMIF(Personnes!$C$8:$C$47,$A9,'Planning par personne'!L$8:L$47))</f>
        <v/>
      </c>
      <c r="M9" s="26" t="str">
        <f>IF(OR($A9="",11&gt;Paramètres!$B$9),"",SUMIF(Personnes!$C$8:$C$47,$A9,'Planning par personne'!M$8:M$47))</f>
        <v/>
      </c>
      <c r="N9" s="26" t="str">
        <f>IF(OR($A9="",12&gt;Paramètres!$B$9),"",SUMIF(Personnes!$C$8:$C$47,$A9,'Planning par personne'!N$8:N$47))</f>
        <v/>
      </c>
      <c r="O9" s="26" t="str">
        <f>IF(OR($A9="",13&gt;Paramètres!$B$9),"",SUMIF(Personnes!$C$8:$C$47,$A9,'Planning par personne'!O$8:O$47))</f>
        <v/>
      </c>
    </row>
    <row r="10" ht="28" customHeight="1">
      <c r="A10" s="25" t="str">
        <f>IF(Paramètres!F10="","",Paramètres!F10)</f>
        <v/>
      </c>
      <c r="B10" s="25" t="str">
        <f>IF(A10="","","jours / semaine")</f>
        <v/>
      </c>
      <c r="C10" s="24" t="str">
        <f>IF(OR($A10="",1&gt;Paramètres!$B$9),"",SUMIF(Personnes!$C$8:$C$47,$A10,'Planning par personne'!C$8:C$47))</f>
        <v/>
      </c>
      <c r="D10" s="24" t="str">
        <f>IF(OR($A10="",2&gt;Paramètres!$B$9),"",SUMIF(Personnes!$C$8:$C$47,$A10,'Planning par personne'!D$8:D$47))</f>
        <v/>
      </c>
      <c r="E10" s="24" t="str">
        <f>IF(OR($A10="",3&gt;Paramètres!$B$9),"",SUMIF(Personnes!$C$8:$C$47,$A10,'Planning par personne'!E$8:E$47))</f>
        <v/>
      </c>
      <c r="F10" s="24" t="str">
        <f>IF(OR($A10="",4&gt;Paramètres!$B$9),"",SUMIF(Personnes!$C$8:$C$47,$A10,'Planning par personne'!F$8:F$47))</f>
        <v/>
      </c>
      <c r="G10" s="24" t="str">
        <f>IF(OR($A10="",5&gt;Paramètres!$B$9),"",SUMIF(Personnes!$C$8:$C$47,$A10,'Planning par personne'!G$8:G$47))</f>
        <v/>
      </c>
      <c r="H10" s="24" t="str">
        <f>IF(OR($A10="",6&gt;Paramètres!$B$9),"",SUMIF(Personnes!$C$8:$C$47,$A10,'Planning par personne'!H$8:H$47))</f>
        <v/>
      </c>
      <c r="I10" s="24" t="str">
        <f>IF(OR($A10="",7&gt;Paramètres!$B$9),"",SUMIF(Personnes!$C$8:$C$47,$A10,'Planning par personne'!I$8:I$47))</f>
        <v/>
      </c>
      <c r="J10" s="24" t="str">
        <f>IF(OR($A10="",8&gt;Paramètres!$B$9),"",SUMIF(Personnes!$C$8:$C$47,$A10,'Planning par personne'!J$8:J$47))</f>
        <v/>
      </c>
      <c r="K10" s="24" t="str">
        <f>IF(OR($A10="",9&gt;Paramètres!$B$9),"",SUMIF(Personnes!$C$8:$C$47,$A10,'Planning par personne'!K$8:K$47))</f>
        <v/>
      </c>
      <c r="L10" s="24" t="str">
        <f>IF(OR($A10="",10&gt;Paramètres!$B$9),"",SUMIF(Personnes!$C$8:$C$47,$A10,'Planning par personne'!L$8:L$47))</f>
        <v/>
      </c>
      <c r="M10" s="24" t="str">
        <f>IF(OR($A10="",11&gt;Paramètres!$B$9),"",SUMIF(Personnes!$C$8:$C$47,$A10,'Planning par personne'!M$8:M$47))</f>
        <v/>
      </c>
      <c r="N10" s="24" t="str">
        <f>IF(OR($A10="",12&gt;Paramètres!$B$9),"",SUMIF(Personnes!$C$8:$C$47,$A10,'Planning par personne'!N$8:N$47))</f>
        <v/>
      </c>
      <c r="O10" s="24" t="str">
        <f>IF(OR($A10="",13&gt;Paramètres!$B$9),"",SUMIF(Personnes!$C$8:$C$47,$A10,'Planning par personne'!O$8:O$47))</f>
        <v/>
      </c>
    </row>
    <row r="11" ht="28" customHeight="1">
      <c r="A11" s="27" t="str">
        <f>IF(Paramètres!F11="","",Paramètres!F11)</f>
        <v/>
      </c>
      <c r="B11" s="27" t="str">
        <f>IF(A11="","","jours / semaine")</f>
        <v/>
      </c>
      <c r="C11" s="26" t="str">
        <f>IF(OR($A11="",1&gt;Paramètres!$B$9),"",SUMIF(Personnes!$C$8:$C$47,$A11,'Planning par personne'!C$8:C$47))</f>
        <v/>
      </c>
      <c r="D11" s="26" t="str">
        <f>IF(OR($A11="",2&gt;Paramètres!$B$9),"",SUMIF(Personnes!$C$8:$C$47,$A11,'Planning par personne'!D$8:D$47))</f>
        <v/>
      </c>
      <c r="E11" s="26" t="str">
        <f>IF(OR($A11="",3&gt;Paramètres!$B$9),"",SUMIF(Personnes!$C$8:$C$47,$A11,'Planning par personne'!E$8:E$47))</f>
        <v/>
      </c>
      <c r="F11" s="26" t="str">
        <f>IF(OR($A11="",4&gt;Paramètres!$B$9),"",SUMIF(Personnes!$C$8:$C$47,$A11,'Planning par personne'!F$8:F$47))</f>
        <v/>
      </c>
      <c r="G11" s="26" t="str">
        <f>IF(OR($A11="",5&gt;Paramètres!$B$9),"",SUMIF(Personnes!$C$8:$C$47,$A11,'Planning par personne'!G$8:G$47))</f>
        <v/>
      </c>
      <c r="H11" s="26" t="str">
        <f>IF(OR($A11="",6&gt;Paramètres!$B$9),"",SUMIF(Personnes!$C$8:$C$47,$A11,'Planning par personne'!H$8:H$47))</f>
        <v/>
      </c>
      <c r="I11" s="26" t="str">
        <f>IF(OR($A11="",7&gt;Paramètres!$B$9),"",SUMIF(Personnes!$C$8:$C$47,$A11,'Planning par personne'!I$8:I$47))</f>
        <v/>
      </c>
      <c r="J11" s="26" t="str">
        <f>IF(OR($A11="",8&gt;Paramètres!$B$9),"",SUMIF(Personnes!$C$8:$C$47,$A11,'Planning par personne'!J$8:J$47))</f>
        <v/>
      </c>
      <c r="K11" s="26" t="str">
        <f>IF(OR($A11="",9&gt;Paramètres!$B$9),"",SUMIF(Personnes!$C$8:$C$47,$A11,'Planning par personne'!K$8:K$47))</f>
        <v/>
      </c>
      <c r="L11" s="26" t="str">
        <f>IF(OR($A11="",10&gt;Paramètres!$B$9),"",SUMIF(Personnes!$C$8:$C$47,$A11,'Planning par personne'!L$8:L$47))</f>
        <v/>
      </c>
      <c r="M11" s="26" t="str">
        <f>IF(OR($A11="",11&gt;Paramètres!$B$9),"",SUMIF(Personnes!$C$8:$C$47,$A11,'Planning par personne'!M$8:M$47))</f>
        <v/>
      </c>
      <c r="N11" s="26" t="str">
        <f>IF(OR($A11="",12&gt;Paramètres!$B$9),"",SUMIF(Personnes!$C$8:$C$47,$A11,'Planning par personne'!N$8:N$47))</f>
        <v/>
      </c>
      <c r="O11" s="26" t="str">
        <f>IF(OR($A11="",13&gt;Paramètres!$B$9),"",SUMIF(Personnes!$C$8:$C$47,$A11,'Planning par personne'!O$8:O$47))</f>
        <v/>
      </c>
    </row>
    <row r="12" ht="28" customHeight="1">
      <c r="A12" s="25" t="str">
        <f>IF(Paramètres!F12="","",Paramètres!F12)</f>
        <v/>
      </c>
      <c r="B12" s="25" t="str">
        <f>IF(A12="","","jours / semaine")</f>
        <v/>
      </c>
      <c r="C12" s="24" t="str">
        <f>IF(OR($A12="",1&gt;Paramètres!$B$9),"",SUMIF(Personnes!$C$8:$C$47,$A12,'Planning par personne'!C$8:C$47))</f>
        <v/>
      </c>
      <c r="D12" s="24" t="str">
        <f>IF(OR($A12="",2&gt;Paramètres!$B$9),"",SUMIF(Personnes!$C$8:$C$47,$A12,'Planning par personne'!D$8:D$47))</f>
        <v/>
      </c>
      <c r="E12" s="24" t="str">
        <f>IF(OR($A12="",3&gt;Paramètres!$B$9),"",SUMIF(Personnes!$C$8:$C$47,$A12,'Planning par personne'!E$8:E$47))</f>
        <v/>
      </c>
      <c r="F12" s="24" t="str">
        <f>IF(OR($A12="",4&gt;Paramètres!$B$9),"",SUMIF(Personnes!$C$8:$C$47,$A12,'Planning par personne'!F$8:F$47))</f>
        <v/>
      </c>
      <c r="G12" s="24" t="str">
        <f>IF(OR($A12="",5&gt;Paramètres!$B$9),"",SUMIF(Personnes!$C$8:$C$47,$A12,'Planning par personne'!G$8:G$47))</f>
        <v/>
      </c>
      <c r="H12" s="24" t="str">
        <f>IF(OR($A12="",6&gt;Paramètres!$B$9),"",SUMIF(Personnes!$C$8:$C$47,$A12,'Planning par personne'!H$8:H$47))</f>
        <v/>
      </c>
      <c r="I12" s="24" t="str">
        <f>IF(OR($A12="",7&gt;Paramètres!$B$9),"",SUMIF(Personnes!$C$8:$C$47,$A12,'Planning par personne'!I$8:I$47))</f>
        <v/>
      </c>
      <c r="J12" s="24" t="str">
        <f>IF(OR($A12="",8&gt;Paramètres!$B$9),"",SUMIF(Personnes!$C$8:$C$47,$A12,'Planning par personne'!J$8:J$47))</f>
        <v/>
      </c>
      <c r="K12" s="24" t="str">
        <f>IF(OR($A12="",9&gt;Paramètres!$B$9),"",SUMIF(Personnes!$C$8:$C$47,$A12,'Planning par personne'!K$8:K$47))</f>
        <v/>
      </c>
      <c r="L12" s="24" t="str">
        <f>IF(OR($A12="",10&gt;Paramètres!$B$9),"",SUMIF(Personnes!$C$8:$C$47,$A12,'Planning par personne'!L$8:L$47))</f>
        <v/>
      </c>
      <c r="M12" s="24" t="str">
        <f>IF(OR($A12="",11&gt;Paramètres!$B$9),"",SUMIF(Personnes!$C$8:$C$47,$A12,'Planning par personne'!M$8:M$47))</f>
        <v/>
      </c>
      <c r="N12" s="24" t="str">
        <f>IF(OR($A12="",12&gt;Paramètres!$B$9),"",SUMIF(Personnes!$C$8:$C$47,$A12,'Planning par personne'!N$8:N$47))</f>
        <v/>
      </c>
      <c r="O12" s="24" t="str">
        <f>IF(OR($A12="",13&gt;Paramètres!$B$9),"",SUMIF(Personnes!$C$8:$C$47,$A12,'Planning par personne'!O$8:O$47))</f>
        <v/>
      </c>
    </row>
    <row r="13" ht="28" customHeight="1">
      <c r="A13" s="27" t="str">
        <f>IF(Paramètres!F13="","",Paramètres!F13)</f>
        <v/>
      </c>
      <c r="B13" s="27" t="str">
        <f>IF(A13="","","jours / semaine")</f>
        <v/>
      </c>
      <c r="C13" s="26" t="str">
        <f>IF(OR($A13="",1&gt;Paramètres!$B$9),"",SUMIF(Personnes!$C$8:$C$47,$A13,'Planning par personne'!C$8:C$47))</f>
        <v/>
      </c>
      <c r="D13" s="26" t="str">
        <f>IF(OR($A13="",2&gt;Paramètres!$B$9),"",SUMIF(Personnes!$C$8:$C$47,$A13,'Planning par personne'!D$8:D$47))</f>
        <v/>
      </c>
      <c r="E13" s="26" t="str">
        <f>IF(OR($A13="",3&gt;Paramètres!$B$9),"",SUMIF(Personnes!$C$8:$C$47,$A13,'Planning par personne'!E$8:E$47))</f>
        <v/>
      </c>
      <c r="F13" s="26" t="str">
        <f>IF(OR($A13="",4&gt;Paramètres!$B$9),"",SUMIF(Personnes!$C$8:$C$47,$A13,'Planning par personne'!F$8:F$47))</f>
        <v/>
      </c>
      <c r="G13" s="26" t="str">
        <f>IF(OR($A13="",5&gt;Paramètres!$B$9),"",SUMIF(Personnes!$C$8:$C$47,$A13,'Planning par personne'!G$8:G$47))</f>
        <v/>
      </c>
      <c r="H13" s="26" t="str">
        <f>IF(OR($A13="",6&gt;Paramètres!$B$9),"",SUMIF(Personnes!$C$8:$C$47,$A13,'Planning par personne'!H$8:H$47))</f>
        <v/>
      </c>
      <c r="I13" s="26" t="str">
        <f>IF(OR($A13="",7&gt;Paramètres!$B$9),"",SUMIF(Personnes!$C$8:$C$47,$A13,'Planning par personne'!I$8:I$47))</f>
        <v/>
      </c>
      <c r="J13" s="26" t="str">
        <f>IF(OR($A13="",8&gt;Paramètres!$B$9),"",SUMIF(Personnes!$C$8:$C$47,$A13,'Planning par personne'!J$8:J$47))</f>
        <v/>
      </c>
      <c r="K13" s="26" t="str">
        <f>IF(OR($A13="",9&gt;Paramètres!$B$9),"",SUMIF(Personnes!$C$8:$C$47,$A13,'Planning par personne'!K$8:K$47))</f>
        <v/>
      </c>
      <c r="L13" s="26" t="str">
        <f>IF(OR($A13="",10&gt;Paramètres!$B$9),"",SUMIF(Personnes!$C$8:$C$47,$A13,'Planning par personne'!L$8:L$47))</f>
        <v/>
      </c>
      <c r="M13" s="26" t="str">
        <f>IF(OR($A13="",11&gt;Paramètres!$B$9),"",SUMIF(Personnes!$C$8:$C$47,$A13,'Planning par personne'!M$8:M$47))</f>
        <v/>
      </c>
      <c r="N13" s="26" t="str">
        <f>IF(OR($A13="",12&gt;Paramètres!$B$9),"",SUMIF(Personnes!$C$8:$C$47,$A13,'Planning par personne'!N$8:N$47))</f>
        <v/>
      </c>
      <c r="O13" s="26" t="str">
        <f>IF(OR($A13="",13&gt;Paramètres!$B$9),"",SUMIF(Personnes!$C$8:$C$47,$A13,'Planning par personne'!O$8:O$47))</f>
        <v/>
      </c>
    </row>
    <row r="14" ht="28" customHeight="1">
      <c r="A14" s="25" t="str">
        <f>IF(Paramètres!F14="","",Paramètres!F14)</f>
        <v/>
      </c>
      <c r="B14" s="25" t="str">
        <f>IF(A14="","","jours / semaine")</f>
        <v/>
      </c>
      <c r="C14" s="24" t="str">
        <f>IF(OR($A14="",1&gt;Paramètres!$B$9),"",SUMIF(Personnes!$C$8:$C$47,$A14,'Planning par personne'!C$8:C$47))</f>
        <v/>
      </c>
      <c r="D14" s="24" t="str">
        <f>IF(OR($A14="",2&gt;Paramètres!$B$9),"",SUMIF(Personnes!$C$8:$C$47,$A14,'Planning par personne'!D$8:D$47))</f>
        <v/>
      </c>
      <c r="E14" s="24" t="str">
        <f>IF(OR($A14="",3&gt;Paramètres!$B$9),"",SUMIF(Personnes!$C$8:$C$47,$A14,'Planning par personne'!E$8:E$47))</f>
        <v/>
      </c>
      <c r="F14" s="24" t="str">
        <f>IF(OR($A14="",4&gt;Paramètres!$B$9),"",SUMIF(Personnes!$C$8:$C$47,$A14,'Planning par personne'!F$8:F$47))</f>
        <v/>
      </c>
      <c r="G14" s="24" t="str">
        <f>IF(OR($A14="",5&gt;Paramètres!$B$9),"",SUMIF(Personnes!$C$8:$C$47,$A14,'Planning par personne'!G$8:G$47))</f>
        <v/>
      </c>
      <c r="H14" s="24" t="str">
        <f>IF(OR($A14="",6&gt;Paramètres!$B$9),"",SUMIF(Personnes!$C$8:$C$47,$A14,'Planning par personne'!H$8:H$47))</f>
        <v/>
      </c>
      <c r="I14" s="24" t="str">
        <f>IF(OR($A14="",7&gt;Paramètres!$B$9),"",SUMIF(Personnes!$C$8:$C$47,$A14,'Planning par personne'!I$8:I$47))</f>
        <v/>
      </c>
      <c r="J14" s="24" t="str">
        <f>IF(OR($A14="",8&gt;Paramètres!$B$9),"",SUMIF(Personnes!$C$8:$C$47,$A14,'Planning par personne'!J$8:J$47))</f>
        <v/>
      </c>
      <c r="K14" s="24" t="str">
        <f>IF(OR($A14="",9&gt;Paramètres!$B$9),"",SUMIF(Personnes!$C$8:$C$47,$A14,'Planning par personne'!K$8:K$47))</f>
        <v/>
      </c>
      <c r="L14" s="24" t="str">
        <f>IF(OR($A14="",10&gt;Paramètres!$B$9),"",SUMIF(Personnes!$C$8:$C$47,$A14,'Planning par personne'!L$8:L$47))</f>
        <v/>
      </c>
      <c r="M14" s="24" t="str">
        <f>IF(OR($A14="",11&gt;Paramètres!$B$9),"",SUMIF(Personnes!$C$8:$C$47,$A14,'Planning par personne'!M$8:M$47))</f>
        <v/>
      </c>
      <c r="N14" s="24" t="str">
        <f>IF(OR($A14="",12&gt;Paramètres!$B$9),"",SUMIF(Personnes!$C$8:$C$47,$A14,'Planning par personne'!N$8:N$47))</f>
        <v/>
      </c>
      <c r="O14" s="24" t="str">
        <f>IF(OR($A14="",13&gt;Paramètres!$B$9),"",SUMIF(Personnes!$C$8:$C$47,$A14,'Planning par personne'!O$8:O$47))</f>
        <v/>
      </c>
    </row>
    <row r="15" ht="28" customHeight="1">
      <c r="A15" s="27" t="str">
        <f>IF(Paramètres!F15="","",Paramètres!F15)</f>
        <v/>
      </c>
      <c r="B15" s="27" t="str">
        <f>IF(A15="","","jours / semaine")</f>
        <v/>
      </c>
      <c r="C15" s="26" t="str">
        <f>IF(OR($A15="",1&gt;Paramètres!$B$9),"",SUMIF(Personnes!$C$8:$C$47,$A15,'Planning par personne'!C$8:C$47))</f>
        <v/>
      </c>
      <c r="D15" s="26" t="str">
        <f>IF(OR($A15="",2&gt;Paramètres!$B$9),"",SUMIF(Personnes!$C$8:$C$47,$A15,'Planning par personne'!D$8:D$47))</f>
        <v/>
      </c>
      <c r="E15" s="26" t="str">
        <f>IF(OR($A15="",3&gt;Paramètres!$B$9),"",SUMIF(Personnes!$C$8:$C$47,$A15,'Planning par personne'!E$8:E$47))</f>
        <v/>
      </c>
      <c r="F15" s="26" t="str">
        <f>IF(OR($A15="",4&gt;Paramètres!$B$9),"",SUMIF(Personnes!$C$8:$C$47,$A15,'Planning par personne'!F$8:F$47))</f>
        <v/>
      </c>
      <c r="G15" s="26" t="str">
        <f>IF(OR($A15="",5&gt;Paramètres!$B$9),"",SUMIF(Personnes!$C$8:$C$47,$A15,'Planning par personne'!G$8:G$47))</f>
        <v/>
      </c>
      <c r="H15" s="26" t="str">
        <f>IF(OR($A15="",6&gt;Paramètres!$B$9),"",SUMIF(Personnes!$C$8:$C$47,$A15,'Planning par personne'!H$8:H$47))</f>
        <v/>
      </c>
      <c r="I15" s="26" t="str">
        <f>IF(OR($A15="",7&gt;Paramètres!$B$9),"",SUMIF(Personnes!$C$8:$C$47,$A15,'Planning par personne'!I$8:I$47))</f>
        <v/>
      </c>
      <c r="J15" s="26" t="str">
        <f>IF(OR($A15="",8&gt;Paramètres!$B$9),"",SUMIF(Personnes!$C$8:$C$47,$A15,'Planning par personne'!J$8:J$47))</f>
        <v/>
      </c>
      <c r="K15" s="26" t="str">
        <f>IF(OR($A15="",9&gt;Paramètres!$B$9),"",SUMIF(Personnes!$C$8:$C$47,$A15,'Planning par personne'!K$8:K$47))</f>
        <v/>
      </c>
      <c r="L15" s="26" t="str">
        <f>IF(OR($A15="",10&gt;Paramètres!$B$9),"",SUMIF(Personnes!$C$8:$C$47,$A15,'Planning par personne'!L$8:L$47))</f>
        <v/>
      </c>
      <c r="M15" s="26" t="str">
        <f>IF(OR($A15="",11&gt;Paramètres!$B$9),"",SUMIF(Personnes!$C$8:$C$47,$A15,'Planning par personne'!M$8:M$47))</f>
        <v/>
      </c>
      <c r="N15" s="26" t="str">
        <f>IF(OR($A15="",12&gt;Paramètres!$B$9),"",SUMIF(Personnes!$C$8:$C$47,$A15,'Planning par personne'!N$8:N$47))</f>
        <v/>
      </c>
      <c r="O15" s="26" t="str">
        <f>IF(OR($A15="",13&gt;Paramètres!$B$9),"",SUMIF(Personnes!$C$8:$C$47,$A15,'Planning par personne'!O$8:O$47))</f>
        <v/>
      </c>
    </row>
    <row r="16" ht="28" customHeight="1">
      <c r="A16" s="25" t="str">
        <f>IF(Paramètres!F16="","",Paramètres!F16)</f>
        <v/>
      </c>
      <c r="B16" s="25" t="str">
        <f>IF(A16="","","jours / semaine")</f>
        <v/>
      </c>
      <c r="C16" s="24" t="str">
        <f>IF(OR($A16="",1&gt;Paramètres!$B$9),"",SUMIF(Personnes!$C$8:$C$47,$A16,'Planning par personne'!C$8:C$47))</f>
        <v/>
      </c>
      <c r="D16" s="24" t="str">
        <f>IF(OR($A16="",2&gt;Paramètres!$B$9),"",SUMIF(Personnes!$C$8:$C$47,$A16,'Planning par personne'!D$8:D$47))</f>
        <v/>
      </c>
      <c r="E16" s="24" t="str">
        <f>IF(OR($A16="",3&gt;Paramètres!$B$9),"",SUMIF(Personnes!$C$8:$C$47,$A16,'Planning par personne'!E$8:E$47))</f>
        <v/>
      </c>
      <c r="F16" s="24" t="str">
        <f>IF(OR($A16="",4&gt;Paramètres!$B$9),"",SUMIF(Personnes!$C$8:$C$47,$A16,'Planning par personne'!F$8:F$47))</f>
        <v/>
      </c>
      <c r="G16" s="24" t="str">
        <f>IF(OR($A16="",5&gt;Paramètres!$B$9),"",SUMIF(Personnes!$C$8:$C$47,$A16,'Planning par personne'!G$8:G$47))</f>
        <v/>
      </c>
      <c r="H16" s="24" t="str">
        <f>IF(OR($A16="",6&gt;Paramètres!$B$9),"",SUMIF(Personnes!$C$8:$C$47,$A16,'Planning par personne'!H$8:H$47))</f>
        <v/>
      </c>
      <c r="I16" s="24" t="str">
        <f>IF(OR($A16="",7&gt;Paramètres!$B$9),"",SUMIF(Personnes!$C$8:$C$47,$A16,'Planning par personne'!I$8:I$47))</f>
        <v/>
      </c>
      <c r="J16" s="24" t="str">
        <f>IF(OR($A16="",8&gt;Paramètres!$B$9),"",SUMIF(Personnes!$C$8:$C$47,$A16,'Planning par personne'!J$8:J$47))</f>
        <v/>
      </c>
      <c r="K16" s="24" t="str">
        <f>IF(OR($A16="",9&gt;Paramètres!$B$9),"",SUMIF(Personnes!$C$8:$C$47,$A16,'Planning par personne'!K$8:K$47))</f>
        <v/>
      </c>
      <c r="L16" s="24" t="str">
        <f>IF(OR($A16="",10&gt;Paramètres!$B$9),"",SUMIF(Personnes!$C$8:$C$47,$A16,'Planning par personne'!L$8:L$47))</f>
        <v/>
      </c>
      <c r="M16" s="24" t="str">
        <f>IF(OR($A16="",11&gt;Paramètres!$B$9),"",SUMIF(Personnes!$C$8:$C$47,$A16,'Planning par personne'!M$8:M$47))</f>
        <v/>
      </c>
      <c r="N16" s="24" t="str">
        <f>IF(OR($A16="",12&gt;Paramètres!$B$9),"",SUMIF(Personnes!$C$8:$C$47,$A16,'Planning par personne'!N$8:N$47))</f>
        <v/>
      </c>
      <c r="O16" s="24" t="str">
        <f>IF(OR($A16="",13&gt;Paramètres!$B$9),"",SUMIF(Personnes!$C$8:$C$47,$A16,'Planning par personne'!O$8:O$47))</f>
        <v/>
      </c>
    </row>
    <row r="17" ht="28" customHeight="1">
      <c r="A17" s="27" t="str">
        <f>IF(Paramètres!F17="","",Paramètres!F17)</f>
        <v/>
      </c>
      <c r="B17" s="27" t="str">
        <f>IF(A17="","","jours / semaine")</f>
        <v/>
      </c>
      <c r="C17" s="26" t="str">
        <f>IF(OR($A17="",1&gt;Paramètres!$B$9),"",SUMIF(Personnes!$C$8:$C$47,$A17,'Planning par personne'!C$8:C$47))</f>
        <v/>
      </c>
      <c r="D17" s="26" t="str">
        <f>IF(OR($A17="",2&gt;Paramètres!$B$9),"",SUMIF(Personnes!$C$8:$C$47,$A17,'Planning par personne'!D$8:D$47))</f>
        <v/>
      </c>
      <c r="E17" s="26" t="str">
        <f>IF(OR($A17="",3&gt;Paramètres!$B$9),"",SUMIF(Personnes!$C$8:$C$47,$A17,'Planning par personne'!E$8:E$47))</f>
        <v/>
      </c>
      <c r="F17" s="26" t="str">
        <f>IF(OR($A17="",4&gt;Paramètres!$B$9),"",SUMIF(Personnes!$C$8:$C$47,$A17,'Planning par personne'!F$8:F$47))</f>
        <v/>
      </c>
      <c r="G17" s="26" t="str">
        <f>IF(OR($A17="",5&gt;Paramètres!$B$9),"",SUMIF(Personnes!$C$8:$C$47,$A17,'Planning par personne'!G$8:G$47))</f>
        <v/>
      </c>
      <c r="H17" s="26" t="str">
        <f>IF(OR($A17="",6&gt;Paramètres!$B$9),"",SUMIF(Personnes!$C$8:$C$47,$A17,'Planning par personne'!H$8:H$47))</f>
        <v/>
      </c>
      <c r="I17" s="26" t="str">
        <f>IF(OR($A17="",7&gt;Paramètres!$B$9),"",SUMIF(Personnes!$C$8:$C$47,$A17,'Planning par personne'!I$8:I$47))</f>
        <v/>
      </c>
      <c r="J17" s="26" t="str">
        <f>IF(OR($A17="",8&gt;Paramètres!$B$9),"",SUMIF(Personnes!$C$8:$C$47,$A17,'Planning par personne'!J$8:J$47))</f>
        <v/>
      </c>
      <c r="K17" s="26" t="str">
        <f>IF(OR($A17="",9&gt;Paramètres!$B$9),"",SUMIF(Personnes!$C$8:$C$47,$A17,'Planning par personne'!K$8:K$47))</f>
        <v/>
      </c>
      <c r="L17" s="26" t="str">
        <f>IF(OR($A17="",10&gt;Paramètres!$B$9),"",SUMIF(Personnes!$C$8:$C$47,$A17,'Planning par personne'!L$8:L$47))</f>
        <v/>
      </c>
      <c r="M17" s="26" t="str">
        <f>IF(OR($A17="",11&gt;Paramètres!$B$9),"",SUMIF(Personnes!$C$8:$C$47,$A17,'Planning par personne'!M$8:M$47))</f>
        <v/>
      </c>
      <c r="N17" s="26" t="str">
        <f>IF(OR($A17="",12&gt;Paramètres!$B$9),"",SUMIF(Personnes!$C$8:$C$47,$A17,'Planning par personne'!N$8:N$47))</f>
        <v/>
      </c>
      <c r="O17" s="26" t="str">
        <f>IF(OR($A17="",13&gt;Paramètres!$B$9),"",SUMIF(Personnes!$C$8:$C$47,$A17,'Planning par personne'!O$8:O$47))</f>
        <v/>
      </c>
    </row>
    <row r="18" ht="28" customHeight="1">
      <c r="A18" s="25" t="str">
        <f>IF(Paramètres!F18="","",Paramètres!F18)</f>
        <v/>
      </c>
      <c r="B18" s="25" t="str">
        <f>IF(A18="","","jours / semaine")</f>
        <v/>
      </c>
      <c r="C18" s="24" t="str">
        <f>IF(OR($A18="",1&gt;Paramètres!$B$9),"",SUMIF(Personnes!$C$8:$C$47,$A18,'Planning par personne'!C$8:C$47))</f>
        <v/>
      </c>
      <c r="D18" s="24" t="str">
        <f>IF(OR($A18="",2&gt;Paramètres!$B$9),"",SUMIF(Personnes!$C$8:$C$47,$A18,'Planning par personne'!D$8:D$47))</f>
        <v/>
      </c>
      <c r="E18" s="24" t="str">
        <f>IF(OR($A18="",3&gt;Paramètres!$B$9),"",SUMIF(Personnes!$C$8:$C$47,$A18,'Planning par personne'!E$8:E$47))</f>
        <v/>
      </c>
      <c r="F18" s="24" t="str">
        <f>IF(OR($A18="",4&gt;Paramètres!$B$9),"",SUMIF(Personnes!$C$8:$C$47,$A18,'Planning par personne'!F$8:F$47))</f>
        <v/>
      </c>
      <c r="G18" s="24" t="str">
        <f>IF(OR($A18="",5&gt;Paramètres!$B$9),"",SUMIF(Personnes!$C$8:$C$47,$A18,'Planning par personne'!G$8:G$47))</f>
        <v/>
      </c>
      <c r="H18" s="24" t="str">
        <f>IF(OR($A18="",6&gt;Paramètres!$B$9),"",SUMIF(Personnes!$C$8:$C$47,$A18,'Planning par personne'!H$8:H$47))</f>
        <v/>
      </c>
      <c r="I18" s="24" t="str">
        <f>IF(OR($A18="",7&gt;Paramètres!$B$9),"",SUMIF(Personnes!$C$8:$C$47,$A18,'Planning par personne'!I$8:I$47))</f>
        <v/>
      </c>
      <c r="J18" s="24" t="str">
        <f>IF(OR($A18="",8&gt;Paramètres!$B$9),"",SUMIF(Personnes!$C$8:$C$47,$A18,'Planning par personne'!J$8:J$47))</f>
        <v/>
      </c>
      <c r="K18" s="24" t="str">
        <f>IF(OR($A18="",9&gt;Paramètres!$B$9),"",SUMIF(Personnes!$C$8:$C$47,$A18,'Planning par personne'!K$8:K$47))</f>
        <v/>
      </c>
      <c r="L18" s="24" t="str">
        <f>IF(OR($A18="",10&gt;Paramètres!$B$9),"",SUMIF(Personnes!$C$8:$C$47,$A18,'Planning par personne'!L$8:L$47))</f>
        <v/>
      </c>
      <c r="M18" s="24" t="str">
        <f>IF(OR($A18="",11&gt;Paramètres!$B$9),"",SUMIF(Personnes!$C$8:$C$47,$A18,'Planning par personne'!M$8:M$47))</f>
        <v/>
      </c>
      <c r="N18" s="24" t="str">
        <f>IF(OR($A18="",12&gt;Paramètres!$B$9),"",SUMIF(Personnes!$C$8:$C$47,$A18,'Planning par personne'!N$8:N$47))</f>
        <v/>
      </c>
      <c r="O18" s="24" t="str">
        <f>IF(OR($A18="",13&gt;Paramètres!$B$9),"",SUMIF(Personnes!$C$8:$C$47,$A18,'Planning par personne'!O$8:O$47))</f>
        <v/>
      </c>
    </row>
    <row r="19" ht="28" customHeight="1">
      <c r="A19" s="27" t="str">
        <f>IF(Paramètres!F19="","",Paramètres!F19)</f>
        <v/>
      </c>
      <c r="B19" s="27" t="str">
        <f>IF(A19="","","jours / semaine")</f>
        <v/>
      </c>
      <c r="C19" s="26" t="str">
        <f>IF(OR($A19="",1&gt;Paramètres!$B$9),"",SUMIF(Personnes!$C$8:$C$47,$A19,'Planning par personne'!C$8:C$47))</f>
        <v/>
      </c>
      <c r="D19" s="26" t="str">
        <f>IF(OR($A19="",2&gt;Paramètres!$B$9),"",SUMIF(Personnes!$C$8:$C$47,$A19,'Planning par personne'!D$8:D$47))</f>
        <v/>
      </c>
      <c r="E19" s="26" t="str">
        <f>IF(OR($A19="",3&gt;Paramètres!$B$9),"",SUMIF(Personnes!$C$8:$C$47,$A19,'Planning par personne'!E$8:E$47))</f>
        <v/>
      </c>
      <c r="F19" s="26" t="str">
        <f>IF(OR($A19="",4&gt;Paramètres!$B$9),"",SUMIF(Personnes!$C$8:$C$47,$A19,'Planning par personne'!F$8:F$47))</f>
        <v/>
      </c>
      <c r="G19" s="26" t="str">
        <f>IF(OR($A19="",5&gt;Paramètres!$B$9),"",SUMIF(Personnes!$C$8:$C$47,$A19,'Planning par personne'!G$8:G$47))</f>
        <v/>
      </c>
      <c r="H19" s="26" t="str">
        <f>IF(OR($A19="",6&gt;Paramètres!$B$9),"",SUMIF(Personnes!$C$8:$C$47,$A19,'Planning par personne'!H$8:H$47))</f>
        <v/>
      </c>
      <c r="I19" s="26" t="str">
        <f>IF(OR($A19="",7&gt;Paramètres!$B$9),"",SUMIF(Personnes!$C$8:$C$47,$A19,'Planning par personne'!I$8:I$47))</f>
        <v/>
      </c>
      <c r="J19" s="26" t="str">
        <f>IF(OR($A19="",8&gt;Paramètres!$B$9),"",SUMIF(Personnes!$C$8:$C$47,$A19,'Planning par personne'!J$8:J$47))</f>
        <v/>
      </c>
      <c r="K19" s="26" t="str">
        <f>IF(OR($A19="",9&gt;Paramètres!$B$9),"",SUMIF(Personnes!$C$8:$C$47,$A19,'Planning par personne'!K$8:K$47))</f>
        <v/>
      </c>
      <c r="L19" s="26" t="str">
        <f>IF(OR($A19="",10&gt;Paramètres!$B$9),"",SUMIF(Personnes!$C$8:$C$47,$A19,'Planning par personne'!L$8:L$47))</f>
        <v/>
      </c>
      <c r="M19" s="26" t="str">
        <f>IF(OR($A19="",11&gt;Paramètres!$B$9),"",SUMIF(Personnes!$C$8:$C$47,$A19,'Planning par personne'!M$8:M$47))</f>
        <v/>
      </c>
      <c r="N19" s="26" t="str">
        <f>IF(OR($A19="",12&gt;Paramètres!$B$9),"",SUMIF(Personnes!$C$8:$C$47,$A19,'Planning par personne'!N$8:N$47))</f>
        <v/>
      </c>
      <c r="O19" s="26" t="str">
        <f>IF(OR($A19="",13&gt;Paramètres!$B$9),"",SUMIF(Personnes!$C$8:$C$47,$A19,'Planning par personne'!O$8:O$47))</f>
        <v/>
      </c>
    </row>
    <row r="20" ht="28" customHeight="1">
      <c r="A20" s="25" t="str">
        <f>IF(Paramètres!F20="","",Paramètres!F20)</f>
        <v/>
      </c>
      <c r="B20" s="25" t="str">
        <f>IF(A20="","","jours / semaine")</f>
        <v/>
      </c>
      <c r="C20" s="24" t="str">
        <f>IF(OR($A20="",1&gt;Paramètres!$B$9),"",SUMIF(Personnes!$C$8:$C$47,$A20,'Planning par personne'!C$8:C$47))</f>
        <v/>
      </c>
      <c r="D20" s="24" t="str">
        <f>IF(OR($A20="",2&gt;Paramètres!$B$9),"",SUMIF(Personnes!$C$8:$C$47,$A20,'Planning par personne'!D$8:D$47))</f>
        <v/>
      </c>
      <c r="E20" s="24" t="str">
        <f>IF(OR($A20="",3&gt;Paramètres!$B$9),"",SUMIF(Personnes!$C$8:$C$47,$A20,'Planning par personne'!E$8:E$47))</f>
        <v/>
      </c>
      <c r="F20" s="24" t="str">
        <f>IF(OR($A20="",4&gt;Paramètres!$B$9),"",SUMIF(Personnes!$C$8:$C$47,$A20,'Planning par personne'!F$8:F$47))</f>
        <v/>
      </c>
      <c r="G20" s="24" t="str">
        <f>IF(OR($A20="",5&gt;Paramètres!$B$9),"",SUMIF(Personnes!$C$8:$C$47,$A20,'Planning par personne'!G$8:G$47))</f>
        <v/>
      </c>
      <c r="H20" s="24" t="str">
        <f>IF(OR($A20="",6&gt;Paramètres!$B$9),"",SUMIF(Personnes!$C$8:$C$47,$A20,'Planning par personne'!H$8:H$47))</f>
        <v/>
      </c>
      <c r="I20" s="24" t="str">
        <f>IF(OR($A20="",7&gt;Paramètres!$B$9),"",SUMIF(Personnes!$C$8:$C$47,$A20,'Planning par personne'!I$8:I$47))</f>
        <v/>
      </c>
      <c r="J20" s="24" t="str">
        <f>IF(OR($A20="",8&gt;Paramètres!$B$9),"",SUMIF(Personnes!$C$8:$C$47,$A20,'Planning par personne'!J$8:J$47))</f>
        <v/>
      </c>
      <c r="K20" s="24" t="str">
        <f>IF(OR($A20="",9&gt;Paramètres!$B$9),"",SUMIF(Personnes!$C$8:$C$47,$A20,'Planning par personne'!K$8:K$47))</f>
        <v/>
      </c>
      <c r="L20" s="24" t="str">
        <f>IF(OR($A20="",10&gt;Paramètres!$B$9),"",SUMIF(Personnes!$C$8:$C$47,$A20,'Planning par personne'!L$8:L$47))</f>
        <v/>
      </c>
      <c r="M20" s="24" t="str">
        <f>IF(OR($A20="",11&gt;Paramètres!$B$9),"",SUMIF(Personnes!$C$8:$C$47,$A20,'Planning par personne'!M$8:M$47))</f>
        <v/>
      </c>
      <c r="N20" s="24" t="str">
        <f>IF(OR($A20="",12&gt;Paramètres!$B$9),"",SUMIF(Personnes!$C$8:$C$47,$A20,'Planning par personne'!N$8:N$47))</f>
        <v/>
      </c>
      <c r="O20" s="24" t="str">
        <f>IF(OR($A20="",13&gt;Paramètres!$B$9),"",SUMIF(Personnes!$C$8:$C$47,$A20,'Planning par personne'!O$8:O$47))</f>
        <v/>
      </c>
    </row>
    <row r="21" ht="28" customHeight="1">
      <c r="A21" s="27" t="str">
        <f>IF(Paramètres!F21="","",Paramètres!F21)</f>
        <v/>
      </c>
      <c r="B21" s="27" t="str">
        <f>IF(A21="","","jours / semaine")</f>
        <v/>
      </c>
      <c r="C21" s="26" t="str">
        <f>IF(OR($A21="",1&gt;Paramètres!$B$9),"",SUMIF(Personnes!$C$8:$C$47,$A21,'Planning par personne'!C$8:C$47))</f>
        <v/>
      </c>
      <c r="D21" s="26" t="str">
        <f>IF(OR($A21="",2&gt;Paramètres!$B$9),"",SUMIF(Personnes!$C$8:$C$47,$A21,'Planning par personne'!D$8:D$47))</f>
        <v/>
      </c>
      <c r="E21" s="26" t="str">
        <f>IF(OR($A21="",3&gt;Paramètres!$B$9),"",SUMIF(Personnes!$C$8:$C$47,$A21,'Planning par personne'!E$8:E$47))</f>
        <v/>
      </c>
      <c r="F21" s="26" t="str">
        <f>IF(OR($A21="",4&gt;Paramètres!$B$9),"",SUMIF(Personnes!$C$8:$C$47,$A21,'Planning par personne'!F$8:F$47))</f>
        <v/>
      </c>
      <c r="G21" s="26" t="str">
        <f>IF(OR($A21="",5&gt;Paramètres!$B$9),"",SUMIF(Personnes!$C$8:$C$47,$A21,'Planning par personne'!G$8:G$47))</f>
        <v/>
      </c>
      <c r="H21" s="26" t="str">
        <f>IF(OR($A21="",6&gt;Paramètres!$B$9),"",SUMIF(Personnes!$C$8:$C$47,$A21,'Planning par personne'!H$8:H$47))</f>
        <v/>
      </c>
      <c r="I21" s="26" t="str">
        <f>IF(OR($A21="",7&gt;Paramètres!$B$9),"",SUMIF(Personnes!$C$8:$C$47,$A21,'Planning par personne'!I$8:I$47))</f>
        <v/>
      </c>
      <c r="J21" s="26" t="str">
        <f>IF(OR($A21="",8&gt;Paramètres!$B$9),"",SUMIF(Personnes!$C$8:$C$47,$A21,'Planning par personne'!J$8:J$47))</f>
        <v/>
      </c>
      <c r="K21" s="26" t="str">
        <f>IF(OR($A21="",9&gt;Paramètres!$B$9),"",SUMIF(Personnes!$C$8:$C$47,$A21,'Planning par personne'!K$8:K$47))</f>
        <v/>
      </c>
      <c r="L21" s="26" t="str">
        <f>IF(OR($A21="",10&gt;Paramètres!$B$9),"",SUMIF(Personnes!$C$8:$C$47,$A21,'Planning par personne'!L$8:L$47))</f>
        <v/>
      </c>
      <c r="M21" s="26" t="str">
        <f>IF(OR($A21="",11&gt;Paramètres!$B$9),"",SUMIF(Personnes!$C$8:$C$47,$A21,'Planning par personne'!M$8:M$47))</f>
        <v/>
      </c>
      <c r="N21" s="26" t="str">
        <f>IF(OR($A21="",12&gt;Paramètres!$B$9),"",SUMIF(Personnes!$C$8:$C$47,$A21,'Planning par personne'!N$8:N$47))</f>
        <v/>
      </c>
      <c r="O21" s="26" t="str">
        <f>IF(OR($A21="",13&gt;Paramètres!$B$9),"",SUMIF(Personnes!$C$8:$C$47,$A21,'Planning par personne'!O$8:O$47))</f>
        <v/>
      </c>
    </row>
    <row r="22" ht="28" customHeight="1">
      <c r="A22" s="25" t="str">
        <f>IF(Paramètres!F22="","",Paramètres!F22)</f>
        <v/>
      </c>
      <c r="B22" s="25" t="str">
        <f>IF(A22="","","jours / semaine")</f>
        <v/>
      </c>
      <c r="C22" s="24" t="str">
        <f>IF(OR($A22="",1&gt;Paramètres!$B$9),"",SUMIF(Personnes!$C$8:$C$47,$A22,'Planning par personne'!C$8:C$47))</f>
        <v/>
      </c>
      <c r="D22" s="24" t="str">
        <f>IF(OR($A22="",2&gt;Paramètres!$B$9),"",SUMIF(Personnes!$C$8:$C$47,$A22,'Planning par personne'!D$8:D$47))</f>
        <v/>
      </c>
      <c r="E22" s="24" t="str">
        <f>IF(OR($A22="",3&gt;Paramètres!$B$9),"",SUMIF(Personnes!$C$8:$C$47,$A22,'Planning par personne'!E$8:E$47))</f>
        <v/>
      </c>
      <c r="F22" s="24" t="str">
        <f>IF(OR($A22="",4&gt;Paramètres!$B$9),"",SUMIF(Personnes!$C$8:$C$47,$A22,'Planning par personne'!F$8:F$47))</f>
        <v/>
      </c>
      <c r="G22" s="24" t="str">
        <f>IF(OR($A22="",5&gt;Paramètres!$B$9),"",SUMIF(Personnes!$C$8:$C$47,$A22,'Planning par personne'!G$8:G$47))</f>
        <v/>
      </c>
      <c r="H22" s="24" t="str">
        <f>IF(OR($A22="",6&gt;Paramètres!$B$9),"",SUMIF(Personnes!$C$8:$C$47,$A22,'Planning par personne'!H$8:H$47))</f>
        <v/>
      </c>
      <c r="I22" s="24" t="str">
        <f>IF(OR($A22="",7&gt;Paramètres!$B$9),"",SUMIF(Personnes!$C$8:$C$47,$A22,'Planning par personne'!I$8:I$47))</f>
        <v/>
      </c>
      <c r="J22" s="24" t="str">
        <f>IF(OR($A22="",8&gt;Paramètres!$B$9),"",SUMIF(Personnes!$C$8:$C$47,$A22,'Planning par personne'!J$8:J$47))</f>
        <v/>
      </c>
      <c r="K22" s="24" t="str">
        <f>IF(OR($A22="",9&gt;Paramètres!$B$9),"",SUMIF(Personnes!$C$8:$C$47,$A22,'Planning par personne'!K$8:K$47))</f>
        <v/>
      </c>
      <c r="L22" s="24" t="str">
        <f>IF(OR($A22="",10&gt;Paramètres!$B$9),"",SUMIF(Personnes!$C$8:$C$47,$A22,'Planning par personne'!L$8:L$47))</f>
        <v/>
      </c>
      <c r="M22" s="24" t="str">
        <f>IF(OR($A22="",11&gt;Paramètres!$B$9),"",SUMIF(Personnes!$C$8:$C$47,$A22,'Planning par personne'!M$8:M$47))</f>
        <v/>
      </c>
      <c r="N22" s="24" t="str">
        <f>IF(OR($A22="",12&gt;Paramètres!$B$9),"",SUMIF(Personnes!$C$8:$C$47,$A22,'Planning par personne'!N$8:N$47))</f>
        <v/>
      </c>
      <c r="O22" s="24" t="str">
        <f>IF(OR($A22="",13&gt;Paramètres!$B$9),"",SUMIF(Personnes!$C$8:$C$47,$A22,'Planning par personne'!O$8:O$47))</f>
        <v/>
      </c>
    </row>
    <row r="23" ht="28" customHeight="1">
      <c r="A23" s="27" t="str">
        <f>IF(Paramètres!F23="","",Paramètres!F23)</f>
        <v/>
      </c>
      <c r="B23" s="27" t="str">
        <f>IF(A23="","","jours / semaine")</f>
        <v/>
      </c>
      <c r="C23" s="26" t="str">
        <f>IF(OR($A23="",1&gt;Paramètres!$B$9),"",SUMIF(Personnes!$C$8:$C$47,$A23,'Planning par personne'!C$8:C$47))</f>
        <v/>
      </c>
      <c r="D23" s="26" t="str">
        <f>IF(OR($A23="",2&gt;Paramètres!$B$9),"",SUMIF(Personnes!$C$8:$C$47,$A23,'Planning par personne'!D$8:D$47))</f>
        <v/>
      </c>
      <c r="E23" s="26" t="str">
        <f>IF(OR($A23="",3&gt;Paramètres!$B$9),"",SUMIF(Personnes!$C$8:$C$47,$A23,'Planning par personne'!E$8:E$47))</f>
        <v/>
      </c>
      <c r="F23" s="26" t="str">
        <f>IF(OR($A23="",4&gt;Paramètres!$B$9),"",SUMIF(Personnes!$C$8:$C$47,$A23,'Planning par personne'!F$8:F$47))</f>
        <v/>
      </c>
      <c r="G23" s="26" t="str">
        <f>IF(OR($A23="",5&gt;Paramètres!$B$9),"",SUMIF(Personnes!$C$8:$C$47,$A23,'Planning par personne'!G$8:G$47))</f>
        <v/>
      </c>
      <c r="H23" s="26" t="str">
        <f>IF(OR($A23="",6&gt;Paramètres!$B$9),"",SUMIF(Personnes!$C$8:$C$47,$A23,'Planning par personne'!H$8:H$47))</f>
        <v/>
      </c>
      <c r="I23" s="26" t="str">
        <f>IF(OR($A23="",7&gt;Paramètres!$B$9),"",SUMIF(Personnes!$C$8:$C$47,$A23,'Planning par personne'!I$8:I$47))</f>
        <v/>
      </c>
      <c r="J23" s="26" t="str">
        <f>IF(OR($A23="",8&gt;Paramètres!$B$9),"",SUMIF(Personnes!$C$8:$C$47,$A23,'Planning par personne'!J$8:J$47))</f>
        <v/>
      </c>
      <c r="K23" s="26" t="str">
        <f>IF(OR($A23="",9&gt;Paramètres!$B$9),"",SUMIF(Personnes!$C$8:$C$47,$A23,'Planning par personne'!K$8:K$47))</f>
        <v/>
      </c>
      <c r="L23" s="26" t="str">
        <f>IF(OR($A23="",10&gt;Paramètres!$B$9),"",SUMIF(Personnes!$C$8:$C$47,$A23,'Planning par personne'!L$8:L$47))</f>
        <v/>
      </c>
      <c r="M23" s="26" t="str">
        <f>IF(OR($A23="",11&gt;Paramètres!$B$9),"",SUMIF(Personnes!$C$8:$C$47,$A23,'Planning par personne'!M$8:M$47))</f>
        <v/>
      </c>
      <c r="N23" s="26" t="str">
        <f>IF(OR($A23="",12&gt;Paramètres!$B$9),"",SUMIF(Personnes!$C$8:$C$47,$A23,'Planning par personne'!N$8:N$47))</f>
        <v/>
      </c>
      <c r="O23" s="26" t="str">
        <f>IF(OR($A23="",13&gt;Paramètres!$B$9),"",SUMIF(Personnes!$C$8:$C$47,$A23,'Planning par personne'!O$8:O$47))</f>
        <v/>
      </c>
    </row>
    <row r="24" ht="28" customHeight="1">
      <c r="A24" s="25" t="str">
        <f>IF(Paramètres!F24="","",Paramètres!F24)</f>
        <v/>
      </c>
      <c r="B24" s="25" t="str">
        <f>IF(A24="","","jours / semaine")</f>
        <v/>
      </c>
      <c r="C24" s="24" t="str">
        <f>IF(OR($A24="",1&gt;Paramètres!$B$9),"",SUMIF(Personnes!$C$8:$C$47,$A24,'Planning par personne'!C$8:C$47))</f>
        <v/>
      </c>
      <c r="D24" s="24" t="str">
        <f>IF(OR($A24="",2&gt;Paramètres!$B$9),"",SUMIF(Personnes!$C$8:$C$47,$A24,'Planning par personne'!D$8:D$47))</f>
        <v/>
      </c>
      <c r="E24" s="24" t="str">
        <f>IF(OR($A24="",3&gt;Paramètres!$B$9),"",SUMIF(Personnes!$C$8:$C$47,$A24,'Planning par personne'!E$8:E$47))</f>
        <v/>
      </c>
      <c r="F24" s="24" t="str">
        <f>IF(OR($A24="",4&gt;Paramètres!$B$9),"",SUMIF(Personnes!$C$8:$C$47,$A24,'Planning par personne'!F$8:F$47))</f>
        <v/>
      </c>
      <c r="G24" s="24" t="str">
        <f>IF(OR($A24="",5&gt;Paramètres!$B$9),"",SUMIF(Personnes!$C$8:$C$47,$A24,'Planning par personne'!G$8:G$47))</f>
        <v/>
      </c>
      <c r="H24" s="24" t="str">
        <f>IF(OR($A24="",6&gt;Paramètres!$B$9),"",SUMIF(Personnes!$C$8:$C$47,$A24,'Planning par personne'!H$8:H$47))</f>
        <v/>
      </c>
      <c r="I24" s="24" t="str">
        <f>IF(OR($A24="",7&gt;Paramètres!$B$9),"",SUMIF(Personnes!$C$8:$C$47,$A24,'Planning par personne'!I$8:I$47))</f>
        <v/>
      </c>
      <c r="J24" s="24" t="str">
        <f>IF(OR($A24="",8&gt;Paramètres!$B$9),"",SUMIF(Personnes!$C$8:$C$47,$A24,'Planning par personne'!J$8:J$47))</f>
        <v/>
      </c>
      <c r="K24" s="24" t="str">
        <f>IF(OR($A24="",9&gt;Paramètres!$B$9),"",SUMIF(Personnes!$C$8:$C$47,$A24,'Planning par personne'!K$8:K$47))</f>
        <v/>
      </c>
      <c r="L24" s="24" t="str">
        <f>IF(OR($A24="",10&gt;Paramètres!$B$9),"",SUMIF(Personnes!$C$8:$C$47,$A24,'Planning par personne'!L$8:L$47))</f>
        <v/>
      </c>
      <c r="M24" s="24" t="str">
        <f>IF(OR($A24="",11&gt;Paramètres!$B$9),"",SUMIF(Personnes!$C$8:$C$47,$A24,'Planning par personne'!M$8:M$47))</f>
        <v/>
      </c>
      <c r="N24" s="24" t="str">
        <f>IF(OR($A24="",12&gt;Paramètres!$B$9),"",SUMIF(Personnes!$C$8:$C$47,$A24,'Planning par personne'!N$8:N$47))</f>
        <v/>
      </c>
      <c r="O24" s="24" t="str">
        <f>IF(OR($A24="",13&gt;Paramètres!$B$9),"",SUMIF(Personnes!$C$8:$C$47,$A24,'Planning par personne'!O$8:O$47))</f>
        <v/>
      </c>
    </row>
    <row r="25" ht="28" customHeight="1">
      <c r="A25" s="27" t="str">
        <f>IF(Paramètres!F25="","",Paramètres!F25)</f>
        <v/>
      </c>
      <c r="B25" s="27" t="str">
        <f>IF(A25="","","jours / semaine")</f>
        <v/>
      </c>
      <c r="C25" s="26" t="str">
        <f>IF(OR($A25="",1&gt;Paramètres!$B$9),"",SUMIF(Personnes!$C$8:$C$47,$A25,'Planning par personne'!C$8:C$47))</f>
        <v/>
      </c>
      <c r="D25" s="26" t="str">
        <f>IF(OR($A25="",2&gt;Paramètres!$B$9),"",SUMIF(Personnes!$C$8:$C$47,$A25,'Planning par personne'!D$8:D$47))</f>
        <v/>
      </c>
      <c r="E25" s="26" t="str">
        <f>IF(OR($A25="",3&gt;Paramètres!$B$9),"",SUMIF(Personnes!$C$8:$C$47,$A25,'Planning par personne'!E$8:E$47))</f>
        <v/>
      </c>
      <c r="F25" s="26" t="str">
        <f>IF(OR($A25="",4&gt;Paramètres!$B$9),"",SUMIF(Personnes!$C$8:$C$47,$A25,'Planning par personne'!F$8:F$47))</f>
        <v/>
      </c>
      <c r="G25" s="26" t="str">
        <f>IF(OR($A25="",5&gt;Paramètres!$B$9),"",SUMIF(Personnes!$C$8:$C$47,$A25,'Planning par personne'!G$8:G$47))</f>
        <v/>
      </c>
      <c r="H25" s="26" t="str">
        <f>IF(OR($A25="",6&gt;Paramètres!$B$9),"",SUMIF(Personnes!$C$8:$C$47,$A25,'Planning par personne'!H$8:H$47))</f>
        <v/>
      </c>
      <c r="I25" s="26" t="str">
        <f>IF(OR($A25="",7&gt;Paramètres!$B$9),"",SUMIF(Personnes!$C$8:$C$47,$A25,'Planning par personne'!I$8:I$47))</f>
        <v/>
      </c>
      <c r="J25" s="26" t="str">
        <f>IF(OR($A25="",8&gt;Paramètres!$B$9),"",SUMIF(Personnes!$C$8:$C$47,$A25,'Planning par personne'!J$8:J$47))</f>
        <v/>
      </c>
      <c r="K25" s="26" t="str">
        <f>IF(OR($A25="",9&gt;Paramètres!$B$9),"",SUMIF(Personnes!$C$8:$C$47,$A25,'Planning par personne'!K$8:K$47))</f>
        <v/>
      </c>
      <c r="L25" s="26" t="str">
        <f>IF(OR($A25="",10&gt;Paramètres!$B$9),"",SUMIF(Personnes!$C$8:$C$47,$A25,'Planning par personne'!L$8:L$47))</f>
        <v/>
      </c>
      <c r="M25" s="26" t="str">
        <f>IF(OR($A25="",11&gt;Paramètres!$B$9),"",SUMIF(Personnes!$C$8:$C$47,$A25,'Planning par personne'!M$8:M$47))</f>
        <v/>
      </c>
      <c r="N25" s="26" t="str">
        <f>IF(OR($A25="",12&gt;Paramètres!$B$9),"",SUMIF(Personnes!$C$8:$C$47,$A25,'Planning par personne'!N$8:N$47))</f>
        <v/>
      </c>
      <c r="O25" s="26" t="str">
        <f>IF(OR($A25="",13&gt;Paramètres!$B$9),"",SUMIF(Personnes!$C$8:$C$47,$A25,'Planning par personne'!O$8:O$47))</f>
        <v/>
      </c>
    </row>
    <row r="26" ht="28" customHeight="1">
      <c r="A26" s="25" t="str">
        <f>IF(Paramètres!F26="","",Paramètres!F26)</f>
        <v/>
      </c>
      <c r="B26" s="25" t="str">
        <f>IF(A26="","","jours / semaine")</f>
        <v/>
      </c>
      <c r="C26" s="24" t="str">
        <f>IF(OR($A26="",1&gt;Paramètres!$B$9),"",SUMIF(Personnes!$C$8:$C$47,$A26,'Planning par personne'!C$8:C$47))</f>
        <v/>
      </c>
      <c r="D26" s="24" t="str">
        <f>IF(OR($A26="",2&gt;Paramètres!$B$9),"",SUMIF(Personnes!$C$8:$C$47,$A26,'Planning par personne'!D$8:D$47))</f>
        <v/>
      </c>
      <c r="E26" s="24" t="str">
        <f>IF(OR($A26="",3&gt;Paramètres!$B$9),"",SUMIF(Personnes!$C$8:$C$47,$A26,'Planning par personne'!E$8:E$47))</f>
        <v/>
      </c>
      <c r="F26" s="24" t="str">
        <f>IF(OR($A26="",4&gt;Paramètres!$B$9),"",SUMIF(Personnes!$C$8:$C$47,$A26,'Planning par personne'!F$8:F$47))</f>
        <v/>
      </c>
      <c r="G26" s="24" t="str">
        <f>IF(OR($A26="",5&gt;Paramètres!$B$9),"",SUMIF(Personnes!$C$8:$C$47,$A26,'Planning par personne'!G$8:G$47))</f>
        <v/>
      </c>
      <c r="H26" s="24" t="str">
        <f>IF(OR($A26="",6&gt;Paramètres!$B$9),"",SUMIF(Personnes!$C$8:$C$47,$A26,'Planning par personne'!H$8:H$47))</f>
        <v/>
      </c>
      <c r="I26" s="24" t="str">
        <f>IF(OR($A26="",7&gt;Paramètres!$B$9),"",SUMIF(Personnes!$C$8:$C$47,$A26,'Planning par personne'!I$8:I$47))</f>
        <v/>
      </c>
      <c r="J26" s="24" t="str">
        <f>IF(OR($A26="",8&gt;Paramètres!$B$9),"",SUMIF(Personnes!$C$8:$C$47,$A26,'Planning par personne'!J$8:J$47))</f>
        <v/>
      </c>
      <c r="K26" s="24" t="str">
        <f>IF(OR($A26="",9&gt;Paramètres!$B$9),"",SUMIF(Personnes!$C$8:$C$47,$A26,'Planning par personne'!K$8:K$47))</f>
        <v/>
      </c>
      <c r="L26" s="24" t="str">
        <f>IF(OR($A26="",10&gt;Paramètres!$B$9),"",SUMIF(Personnes!$C$8:$C$47,$A26,'Planning par personne'!L$8:L$47))</f>
        <v/>
      </c>
      <c r="M26" s="24" t="str">
        <f>IF(OR($A26="",11&gt;Paramètres!$B$9),"",SUMIF(Personnes!$C$8:$C$47,$A26,'Planning par personne'!M$8:M$47))</f>
        <v/>
      </c>
      <c r="N26" s="24" t="str">
        <f>IF(OR($A26="",12&gt;Paramètres!$B$9),"",SUMIF(Personnes!$C$8:$C$47,$A26,'Planning par personne'!N$8:N$47))</f>
        <v/>
      </c>
      <c r="O26" s="24" t="str">
        <f>IF(OR($A26="",13&gt;Paramètres!$B$9),"",SUMIF(Personnes!$C$8:$C$47,$A26,'Planning par personne'!O$8:O$47))</f>
        <v/>
      </c>
    </row>
    <row r="27" ht="28" customHeight="1">
      <c r="A27" s="27" t="str">
        <f>IF(Paramètres!F27="","",Paramètres!F27)</f>
        <v/>
      </c>
      <c r="B27" s="27" t="str">
        <f>IF(A27="","","jours / semaine")</f>
        <v/>
      </c>
      <c r="C27" s="26" t="str">
        <f>IF(OR($A27="",1&gt;Paramètres!$B$9),"",SUMIF(Personnes!$C$8:$C$47,$A27,'Planning par personne'!C$8:C$47))</f>
        <v/>
      </c>
      <c r="D27" s="26" t="str">
        <f>IF(OR($A27="",2&gt;Paramètres!$B$9),"",SUMIF(Personnes!$C$8:$C$47,$A27,'Planning par personne'!D$8:D$47))</f>
        <v/>
      </c>
      <c r="E27" s="26" t="str">
        <f>IF(OR($A27="",3&gt;Paramètres!$B$9),"",SUMIF(Personnes!$C$8:$C$47,$A27,'Planning par personne'!E$8:E$47))</f>
        <v/>
      </c>
      <c r="F27" s="26" t="str">
        <f>IF(OR($A27="",4&gt;Paramètres!$B$9),"",SUMIF(Personnes!$C$8:$C$47,$A27,'Planning par personne'!F$8:F$47))</f>
        <v/>
      </c>
      <c r="G27" s="26" t="str">
        <f>IF(OR($A27="",5&gt;Paramètres!$B$9),"",SUMIF(Personnes!$C$8:$C$47,$A27,'Planning par personne'!G$8:G$47))</f>
        <v/>
      </c>
      <c r="H27" s="26" t="str">
        <f>IF(OR($A27="",6&gt;Paramètres!$B$9),"",SUMIF(Personnes!$C$8:$C$47,$A27,'Planning par personne'!H$8:H$47))</f>
        <v/>
      </c>
      <c r="I27" s="26" t="str">
        <f>IF(OR($A27="",7&gt;Paramètres!$B$9),"",SUMIF(Personnes!$C$8:$C$47,$A27,'Planning par personne'!I$8:I$47))</f>
        <v/>
      </c>
      <c r="J27" s="26" t="str">
        <f>IF(OR($A27="",8&gt;Paramètres!$B$9),"",SUMIF(Personnes!$C$8:$C$47,$A27,'Planning par personne'!J$8:J$47))</f>
        <v/>
      </c>
      <c r="K27" s="26" t="str">
        <f>IF(OR($A27="",9&gt;Paramètres!$B$9),"",SUMIF(Personnes!$C$8:$C$47,$A27,'Planning par personne'!K$8:K$47))</f>
        <v/>
      </c>
      <c r="L27" s="26" t="str">
        <f>IF(OR($A27="",10&gt;Paramètres!$B$9),"",SUMIF(Personnes!$C$8:$C$47,$A27,'Planning par personne'!L$8:L$47))</f>
        <v/>
      </c>
      <c r="M27" s="26" t="str">
        <f>IF(OR($A27="",11&gt;Paramètres!$B$9),"",SUMIF(Personnes!$C$8:$C$47,$A27,'Planning par personne'!M$8:M$47))</f>
        <v/>
      </c>
      <c r="N27" s="26" t="str">
        <f>IF(OR($A27="",12&gt;Paramètres!$B$9),"",SUMIF(Personnes!$C$8:$C$47,$A27,'Planning par personne'!N$8:N$47))</f>
        <v/>
      </c>
      <c r="O27" s="26" t="str">
        <f>IF(OR($A27="",13&gt;Paramètres!$B$9),"",SUMIF(Personnes!$C$8:$C$47,$A27,'Planning par personne'!O$8:O$47))</f>
        <v/>
      </c>
    </row>
    <row r="32" ht="28" customHeight="1">
      <c r="A32" s="23" t="inlineStr">
        <is>
          <t>CHARGE RETENUE</t>
        </is>
      </c>
      <c r="B32" s="23" t="inlineStr">
        <is>
          <t>Nom / équipe</t>
        </is>
      </c>
      <c r="C32" s="28" t="n">
        <f>IFERROR(IF(1&lt;=Paramètres!$B$9,Paramètres!$B$8+0,""),"")</f>
        <v>46300</v>
      </c>
      <c r="D32" s="28" t="n">
        <f>IFERROR(IF(2&lt;=Paramètres!$B$9,Paramètres!$B$8+7,""),"")</f>
        <v>46307</v>
      </c>
      <c r="E32" s="28" t="n">
        <f>IFERROR(IF(3&lt;=Paramètres!$B$9,Paramètres!$B$8+14,""),"")</f>
        <v>46314</v>
      </c>
      <c r="F32" s="28" t="n">
        <f>IFERROR(IF(4&lt;=Paramètres!$B$9,Paramètres!$B$8+21,""),"")</f>
        <v>46321</v>
      </c>
      <c r="G32" s="28" t="n">
        <f>IFERROR(IF(5&lt;=Paramètres!$B$9,Paramètres!$B$8+28,""),"")</f>
        <v>46328</v>
      </c>
      <c r="H32" s="28" t="n">
        <f>IFERROR(IF(6&lt;=Paramètres!$B$9,Paramètres!$B$8+35,""),"")</f>
        <v>46335</v>
      </c>
      <c r="I32" s="28" t="n">
        <f>IFERROR(IF(7&lt;=Paramètres!$B$9,Paramètres!$B$8+42,""),"")</f>
        <v>46342</v>
      </c>
      <c r="J32" s="28" t="n">
        <f>IFERROR(IF(8&lt;=Paramètres!$B$9,Paramètres!$B$8+49,""),"")</f>
        <v>46349</v>
      </c>
      <c r="K32" s="28" t="n">
        <f>IFERROR(IF(9&lt;=Paramètres!$B$9,Paramètres!$B$8+56,""),"")</f>
        <v>46356</v>
      </c>
      <c r="L32" s="28" t="n">
        <f>IFERROR(IF(10&lt;=Paramètres!$B$9,Paramètres!$B$8+63,""),"")</f>
        <v>46363</v>
      </c>
      <c r="M32" s="28" t="n">
        <f>IFERROR(IF(11&lt;=Paramètres!$B$9,Paramètres!$B$8+70,""),"")</f>
        <v>46370</v>
      </c>
      <c r="N32" s="28" t="n">
        <f>IFERROR(IF(12&lt;=Paramètres!$B$9,Paramètres!$B$8+77,""),"")</f>
        <v>46377</v>
      </c>
      <c r="O32" s="28" t="n">
        <f>IFERROR(IF(13&lt;=Paramètres!$B$9,Paramètres!$B$8+84,""),"")</f>
        <v>46384</v>
      </c>
    </row>
    <row r="33" ht="28" customHeight="1">
      <c r="A33" s="27" t="str">
        <f>IF(Paramètres!F8="","",Paramètres!F8)</f>
        <v/>
      </c>
      <c r="B33" s="27" t="str">
        <f>IF(A33="","","jours / semaine")</f>
        <v/>
      </c>
      <c r="C33" s="26" t="str">
        <f>IF(OR($A33="",1&gt;Paramètres!$B$9),"",SUMIF(Calculs!$C$8:$C$247,$A33,Calculs!$X$8:$X$247))</f>
        <v/>
      </c>
      <c r="D33" s="26" t="str">
        <f>IF(OR($A33="",2&gt;Paramètres!$B$9),"",SUMIF(Calculs!$C$8:$C$247,$A33,Calculs!$Y$8:$Y$247))</f>
        <v/>
      </c>
      <c r="E33" s="26" t="str">
        <f>IF(OR($A33="",3&gt;Paramètres!$B$9),"",SUMIF(Calculs!$C$8:$C$247,$A33,Calculs!$Z$8:$Z$247))</f>
        <v/>
      </c>
      <c r="F33" s="26" t="str">
        <f>IF(OR($A33="",4&gt;Paramètres!$B$9),"",SUMIF(Calculs!$C$8:$C$247,$A33,Calculs!$AA$8:$AA$247))</f>
        <v/>
      </c>
      <c r="G33" s="26" t="str">
        <f>IF(OR($A33="",5&gt;Paramètres!$B$9),"",SUMIF(Calculs!$C$8:$C$247,$A33,Calculs!$AB$8:$AB$247))</f>
        <v/>
      </c>
      <c r="H33" s="26" t="str">
        <f>IF(OR($A33="",6&gt;Paramètres!$B$9),"",SUMIF(Calculs!$C$8:$C$247,$A33,Calculs!$AC$8:$AC$247))</f>
        <v/>
      </c>
      <c r="I33" s="26" t="str">
        <f>IF(OR($A33="",7&gt;Paramètres!$B$9),"",SUMIF(Calculs!$C$8:$C$247,$A33,Calculs!$AD$8:$AD$247))</f>
        <v/>
      </c>
      <c r="J33" s="26" t="str">
        <f>IF(OR($A33="",8&gt;Paramètres!$B$9),"",SUMIF(Calculs!$C$8:$C$247,$A33,Calculs!$AE$8:$AE$247))</f>
        <v/>
      </c>
      <c r="K33" s="26" t="str">
        <f>IF(OR($A33="",9&gt;Paramètres!$B$9),"",SUMIF(Calculs!$C$8:$C$247,$A33,Calculs!$AF$8:$AF$247))</f>
        <v/>
      </c>
      <c r="L33" s="26" t="str">
        <f>IF(OR($A33="",10&gt;Paramètres!$B$9),"",SUMIF(Calculs!$C$8:$C$247,$A33,Calculs!$AG$8:$AG$247))</f>
        <v/>
      </c>
      <c r="M33" s="26" t="str">
        <f>IF(OR($A33="",11&gt;Paramètres!$B$9),"",SUMIF(Calculs!$C$8:$C$247,$A33,Calculs!$AH$8:$AH$247))</f>
        <v/>
      </c>
      <c r="N33" s="26" t="str">
        <f>IF(OR($A33="",12&gt;Paramètres!$B$9),"",SUMIF(Calculs!$C$8:$C$247,$A33,Calculs!$AI$8:$AI$247))</f>
        <v/>
      </c>
      <c r="O33" s="26" t="str">
        <f>IF(OR($A33="",13&gt;Paramètres!$B$9),"",SUMIF(Calculs!$C$8:$C$247,$A33,Calculs!$AJ$8:$AJ$247))</f>
        <v/>
      </c>
    </row>
    <row r="34" ht="28" customHeight="1">
      <c r="A34" s="25" t="str">
        <f>IF(Paramètres!F9="","",Paramètres!F9)</f>
        <v/>
      </c>
      <c r="B34" s="25" t="str">
        <f>IF(A34="","","jours / semaine")</f>
        <v/>
      </c>
      <c r="C34" s="24" t="str">
        <f>IF(OR($A34="",1&gt;Paramètres!$B$9),"",SUMIF(Calculs!$C$8:$C$247,$A34,Calculs!$X$8:$X$247))</f>
        <v/>
      </c>
      <c r="D34" s="24" t="str">
        <f>IF(OR($A34="",2&gt;Paramètres!$B$9),"",SUMIF(Calculs!$C$8:$C$247,$A34,Calculs!$Y$8:$Y$247))</f>
        <v/>
      </c>
      <c r="E34" s="24" t="str">
        <f>IF(OR($A34="",3&gt;Paramètres!$B$9),"",SUMIF(Calculs!$C$8:$C$247,$A34,Calculs!$Z$8:$Z$247))</f>
        <v/>
      </c>
      <c r="F34" s="24" t="str">
        <f>IF(OR($A34="",4&gt;Paramètres!$B$9),"",SUMIF(Calculs!$C$8:$C$247,$A34,Calculs!$AA$8:$AA$247))</f>
        <v/>
      </c>
      <c r="G34" s="24" t="str">
        <f>IF(OR($A34="",5&gt;Paramètres!$B$9),"",SUMIF(Calculs!$C$8:$C$247,$A34,Calculs!$AB$8:$AB$247))</f>
        <v/>
      </c>
      <c r="H34" s="24" t="str">
        <f>IF(OR($A34="",6&gt;Paramètres!$B$9),"",SUMIF(Calculs!$C$8:$C$247,$A34,Calculs!$AC$8:$AC$247))</f>
        <v/>
      </c>
      <c r="I34" s="24" t="str">
        <f>IF(OR($A34="",7&gt;Paramètres!$B$9),"",SUMIF(Calculs!$C$8:$C$247,$A34,Calculs!$AD$8:$AD$247))</f>
        <v/>
      </c>
      <c r="J34" s="24" t="str">
        <f>IF(OR($A34="",8&gt;Paramètres!$B$9),"",SUMIF(Calculs!$C$8:$C$247,$A34,Calculs!$AE$8:$AE$247))</f>
        <v/>
      </c>
      <c r="K34" s="24" t="str">
        <f>IF(OR($A34="",9&gt;Paramètres!$B$9),"",SUMIF(Calculs!$C$8:$C$247,$A34,Calculs!$AF$8:$AF$247))</f>
        <v/>
      </c>
      <c r="L34" s="24" t="str">
        <f>IF(OR($A34="",10&gt;Paramètres!$B$9),"",SUMIF(Calculs!$C$8:$C$247,$A34,Calculs!$AG$8:$AG$247))</f>
        <v/>
      </c>
      <c r="M34" s="24" t="str">
        <f>IF(OR($A34="",11&gt;Paramètres!$B$9),"",SUMIF(Calculs!$C$8:$C$247,$A34,Calculs!$AH$8:$AH$247))</f>
        <v/>
      </c>
      <c r="N34" s="24" t="str">
        <f>IF(OR($A34="",12&gt;Paramètres!$B$9),"",SUMIF(Calculs!$C$8:$C$247,$A34,Calculs!$AI$8:$AI$247))</f>
        <v/>
      </c>
      <c r="O34" s="24" t="str">
        <f>IF(OR($A34="",13&gt;Paramètres!$B$9),"",SUMIF(Calculs!$C$8:$C$247,$A34,Calculs!$AJ$8:$AJ$247))</f>
        <v/>
      </c>
    </row>
    <row r="35" ht="28" customHeight="1">
      <c r="A35" s="27" t="str">
        <f>IF(Paramètres!F10="","",Paramètres!F10)</f>
        <v/>
      </c>
      <c r="B35" s="27" t="str">
        <f>IF(A35="","","jours / semaine")</f>
        <v/>
      </c>
      <c r="C35" s="26" t="str">
        <f>IF(OR($A35="",1&gt;Paramètres!$B$9),"",SUMIF(Calculs!$C$8:$C$247,$A35,Calculs!$X$8:$X$247))</f>
        <v/>
      </c>
      <c r="D35" s="26" t="str">
        <f>IF(OR($A35="",2&gt;Paramètres!$B$9),"",SUMIF(Calculs!$C$8:$C$247,$A35,Calculs!$Y$8:$Y$247))</f>
        <v/>
      </c>
      <c r="E35" s="26" t="str">
        <f>IF(OR($A35="",3&gt;Paramètres!$B$9),"",SUMIF(Calculs!$C$8:$C$247,$A35,Calculs!$Z$8:$Z$247))</f>
        <v/>
      </c>
      <c r="F35" s="26" t="str">
        <f>IF(OR($A35="",4&gt;Paramètres!$B$9),"",SUMIF(Calculs!$C$8:$C$247,$A35,Calculs!$AA$8:$AA$247))</f>
        <v/>
      </c>
      <c r="G35" s="26" t="str">
        <f>IF(OR($A35="",5&gt;Paramètres!$B$9),"",SUMIF(Calculs!$C$8:$C$247,$A35,Calculs!$AB$8:$AB$247))</f>
        <v/>
      </c>
      <c r="H35" s="26" t="str">
        <f>IF(OR($A35="",6&gt;Paramètres!$B$9),"",SUMIF(Calculs!$C$8:$C$247,$A35,Calculs!$AC$8:$AC$247))</f>
        <v/>
      </c>
      <c r="I35" s="26" t="str">
        <f>IF(OR($A35="",7&gt;Paramètres!$B$9),"",SUMIF(Calculs!$C$8:$C$247,$A35,Calculs!$AD$8:$AD$247))</f>
        <v/>
      </c>
      <c r="J35" s="26" t="str">
        <f>IF(OR($A35="",8&gt;Paramètres!$B$9),"",SUMIF(Calculs!$C$8:$C$247,$A35,Calculs!$AE$8:$AE$247))</f>
        <v/>
      </c>
      <c r="K35" s="26" t="str">
        <f>IF(OR($A35="",9&gt;Paramètres!$B$9),"",SUMIF(Calculs!$C$8:$C$247,$A35,Calculs!$AF$8:$AF$247))</f>
        <v/>
      </c>
      <c r="L35" s="26" t="str">
        <f>IF(OR($A35="",10&gt;Paramètres!$B$9),"",SUMIF(Calculs!$C$8:$C$247,$A35,Calculs!$AG$8:$AG$247))</f>
        <v/>
      </c>
      <c r="M35" s="26" t="str">
        <f>IF(OR($A35="",11&gt;Paramètres!$B$9),"",SUMIF(Calculs!$C$8:$C$247,$A35,Calculs!$AH$8:$AH$247))</f>
        <v/>
      </c>
      <c r="N35" s="26" t="str">
        <f>IF(OR($A35="",12&gt;Paramètres!$B$9),"",SUMIF(Calculs!$C$8:$C$247,$A35,Calculs!$AI$8:$AI$247))</f>
        <v/>
      </c>
      <c r="O35" s="26" t="str">
        <f>IF(OR($A35="",13&gt;Paramètres!$B$9),"",SUMIF(Calculs!$C$8:$C$247,$A35,Calculs!$AJ$8:$AJ$247))</f>
        <v/>
      </c>
    </row>
    <row r="36" ht="28" customHeight="1">
      <c r="A36" s="25" t="str">
        <f>IF(Paramètres!F11="","",Paramètres!F11)</f>
        <v/>
      </c>
      <c r="B36" s="25" t="str">
        <f>IF(A36="","","jours / semaine")</f>
        <v/>
      </c>
      <c r="C36" s="24" t="str">
        <f>IF(OR($A36="",1&gt;Paramètres!$B$9),"",SUMIF(Calculs!$C$8:$C$247,$A36,Calculs!$X$8:$X$247))</f>
        <v/>
      </c>
      <c r="D36" s="24" t="str">
        <f>IF(OR($A36="",2&gt;Paramètres!$B$9),"",SUMIF(Calculs!$C$8:$C$247,$A36,Calculs!$Y$8:$Y$247))</f>
        <v/>
      </c>
      <c r="E36" s="24" t="str">
        <f>IF(OR($A36="",3&gt;Paramètres!$B$9),"",SUMIF(Calculs!$C$8:$C$247,$A36,Calculs!$Z$8:$Z$247))</f>
        <v/>
      </c>
      <c r="F36" s="24" t="str">
        <f>IF(OR($A36="",4&gt;Paramètres!$B$9),"",SUMIF(Calculs!$C$8:$C$247,$A36,Calculs!$AA$8:$AA$247))</f>
        <v/>
      </c>
      <c r="G36" s="24" t="str">
        <f>IF(OR($A36="",5&gt;Paramètres!$B$9),"",SUMIF(Calculs!$C$8:$C$247,$A36,Calculs!$AB$8:$AB$247))</f>
        <v/>
      </c>
      <c r="H36" s="24" t="str">
        <f>IF(OR($A36="",6&gt;Paramètres!$B$9),"",SUMIF(Calculs!$C$8:$C$247,$A36,Calculs!$AC$8:$AC$247))</f>
        <v/>
      </c>
      <c r="I36" s="24" t="str">
        <f>IF(OR($A36="",7&gt;Paramètres!$B$9),"",SUMIF(Calculs!$C$8:$C$247,$A36,Calculs!$AD$8:$AD$247))</f>
        <v/>
      </c>
      <c r="J36" s="24" t="str">
        <f>IF(OR($A36="",8&gt;Paramètres!$B$9),"",SUMIF(Calculs!$C$8:$C$247,$A36,Calculs!$AE$8:$AE$247))</f>
        <v/>
      </c>
      <c r="K36" s="24" t="str">
        <f>IF(OR($A36="",9&gt;Paramètres!$B$9),"",SUMIF(Calculs!$C$8:$C$247,$A36,Calculs!$AF$8:$AF$247))</f>
        <v/>
      </c>
      <c r="L36" s="24" t="str">
        <f>IF(OR($A36="",10&gt;Paramètres!$B$9),"",SUMIF(Calculs!$C$8:$C$247,$A36,Calculs!$AG$8:$AG$247))</f>
        <v/>
      </c>
      <c r="M36" s="24" t="str">
        <f>IF(OR($A36="",11&gt;Paramètres!$B$9),"",SUMIF(Calculs!$C$8:$C$247,$A36,Calculs!$AH$8:$AH$247))</f>
        <v/>
      </c>
      <c r="N36" s="24" t="str">
        <f>IF(OR($A36="",12&gt;Paramètres!$B$9),"",SUMIF(Calculs!$C$8:$C$247,$A36,Calculs!$AI$8:$AI$247))</f>
        <v/>
      </c>
      <c r="O36" s="24" t="str">
        <f>IF(OR($A36="",13&gt;Paramètres!$B$9),"",SUMIF(Calculs!$C$8:$C$247,$A36,Calculs!$AJ$8:$AJ$247))</f>
        <v/>
      </c>
    </row>
    <row r="37" ht="28" customHeight="1">
      <c r="A37" s="27" t="str">
        <f>IF(Paramètres!F12="","",Paramètres!F12)</f>
        <v/>
      </c>
      <c r="B37" s="27" t="str">
        <f>IF(A37="","","jours / semaine")</f>
        <v/>
      </c>
      <c r="C37" s="26" t="str">
        <f>IF(OR($A37="",1&gt;Paramètres!$B$9),"",SUMIF(Calculs!$C$8:$C$247,$A37,Calculs!$X$8:$X$247))</f>
        <v/>
      </c>
      <c r="D37" s="26" t="str">
        <f>IF(OR($A37="",2&gt;Paramètres!$B$9),"",SUMIF(Calculs!$C$8:$C$247,$A37,Calculs!$Y$8:$Y$247))</f>
        <v/>
      </c>
      <c r="E37" s="26" t="str">
        <f>IF(OR($A37="",3&gt;Paramètres!$B$9),"",SUMIF(Calculs!$C$8:$C$247,$A37,Calculs!$Z$8:$Z$247))</f>
        <v/>
      </c>
      <c r="F37" s="26" t="str">
        <f>IF(OR($A37="",4&gt;Paramètres!$B$9),"",SUMIF(Calculs!$C$8:$C$247,$A37,Calculs!$AA$8:$AA$247))</f>
        <v/>
      </c>
      <c r="G37" s="26" t="str">
        <f>IF(OR($A37="",5&gt;Paramètres!$B$9),"",SUMIF(Calculs!$C$8:$C$247,$A37,Calculs!$AB$8:$AB$247))</f>
        <v/>
      </c>
      <c r="H37" s="26" t="str">
        <f>IF(OR($A37="",6&gt;Paramètres!$B$9),"",SUMIF(Calculs!$C$8:$C$247,$A37,Calculs!$AC$8:$AC$247))</f>
        <v/>
      </c>
      <c r="I37" s="26" t="str">
        <f>IF(OR($A37="",7&gt;Paramètres!$B$9),"",SUMIF(Calculs!$C$8:$C$247,$A37,Calculs!$AD$8:$AD$247))</f>
        <v/>
      </c>
      <c r="J37" s="26" t="str">
        <f>IF(OR($A37="",8&gt;Paramètres!$B$9),"",SUMIF(Calculs!$C$8:$C$247,$A37,Calculs!$AE$8:$AE$247))</f>
        <v/>
      </c>
      <c r="K37" s="26" t="str">
        <f>IF(OR($A37="",9&gt;Paramètres!$B$9),"",SUMIF(Calculs!$C$8:$C$247,$A37,Calculs!$AF$8:$AF$247))</f>
        <v/>
      </c>
      <c r="L37" s="26" t="str">
        <f>IF(OR($A37="",10&gt;Paramètres!$B$9),"",SUMIF(Calculs!$C$8:$C$247,$A37,Calculs!$AG$8:$AG$247))</f>
        <v/>
      </c>
      <c r="M37" s="26" t="str">
        <f>IF(OR($A37="",11&gt;Paramètres!$B$9),"",SUMIF(Calculs!$C$8:$C$247,$A37,Calculs!$AH$8:$AH$247))</f>
        <v/>
      </c>
      <c r="N37" s="26" t="str">
        <f>IF(OR($A37="",12&gt;Paramètres!$B$9),"",SUMIF(Calculs!$C$8:$C$247,$A37,Calculs!$AI$8:$AI$247))</f>
        <v/>
      </c>
      <c r="O37" s="26" t="str">
        <f>IF(OR($A37="",13&gt;Paramètres!$B$9),"",SUMIF(Calculs!$C$8:$C$247,$A37,Calculs!$AJ$8:$AJ$247))</f>
        <v/>
      </c>
    </row>
    <row r="38" ht="28" customHeight="1">
      <c r="A38" s="25" t="str">
        <f>IF(Paramètres!F13="","",Paramètres!F13)</f>
        <v/>
      </c>
      <c r="B38" s="25" t="str">
        <f>IF(A38="","","jours / semaine")</f>
        <v/>
      </c>
      <c r="C38" s="24" t="str">
        <f>IF(OR($A38="",1&gt;Paramètres!$B$9),"",SUMIF(Calculs!$C$8:$C$247,$A38,Calculs!$X$8:$X$247))</f>
        <v/>
      </c>
      <c r="D38" s="24" t="str">
        <f>IF(OR($A38="",2&gt;Paramètres!$B$9),"",SUMIF(Calculs!$C$8:$C$247,$A38,Calculs!$Y$8:$Y$247))</f>
        <v/>
      </c>
      <c r="E38" s="24" t="str">
        <f>IF(OR($A38="",3&gt;Paramètres!$B$9),"",SUMIF(Calculs!$C$8:$C$247,$A38,Calculs!$Z$8:$Z$247))</f>
        <v/>
      </c>
      <c r="F38" s="24" t="str">
        <f>IF(OR($A38="",4&gt;Paramètres!$B$9),"",SUMIF(Calculs!$C$8:$C$247,$A38,Calculs!$AA$8:$AA$247))</f>
        <v/>
      </c>
      <c r="G38" s="24" t="str">
        <f>IF(OR($A38="",5&gt;Paramètres!$B$9),"",SUMIF(Calculs!$C$8:$C$247,$A38,Calculs!$AB$8:$AB$247))</f>
        <v/>
      </c>
      <c r="H38" s="24" t="str">
        <f>IF(OR($A38="",6&gt;Paramètres!$B$9),"",SUMIF(Calculs!$C$8:$C$247,$A38,Calculs!$AC$8:$AC$247))</f>
        <v/>
      </c>
      <c r="I38" s="24" t="str">
        <f>IF(OR($A38="",7&gt;Paramètres!$B$9),"",SUMIF(Calculs!$C$8:$C$247,$A38,Calculs!$AD$8:$AD$247))</f>
        <v/>
      </c>
      <c r="J38" s="24" t="str">
        <f>IF(OR($A38="",8&gt;Paramètres!$B$9),"",SUMIF(Calculs!$C$8:$C$247,$A38,Calculs!$AE$8:$AE$247))</f>
        <v/>
      </c>
      <c r="K38" s="24" t="str">
        <f>IF(OR($A38="",9&gt;Paramètres!$B$9),"",SUMIF(Calculs!$C$8:$C$247,$A38,Calculs!$AF$8:$AF$247))</f>
        <v/>
      </c>
      <c r="L38" s="24" t="str">
        <f>IF(OR($A38="",10&gt;Paramètres!$B$9),"",SUMIF(Calculs!$C$8:$C$247,$A38,Calculs!$AG$8:$AG$247))</f>
        <v/>
      </c>
      <c r="M38" s="24" t="str">
        <f>IF(OR($A38="",11&gt;Paramètres!$B$9),"",SUMIF(Calculs!$C$8:$C$247,$A38,Calculs!$AH$8:$AH$247))</f>
        <v/>
      </c>
      <c r="N38" s="24" t="str">
        <f>IF(OR($A38="",12&gt;Paramètres!$B$9),"",SUMIF(Calculs!$C$8:$C$247,$A38,Calculs!$AI$8:$AI$247))</f>
        <v/>
      </c>
      <c r="O38" s="24" t="str">
        <f>IF(OR($A38="",13&gt;Paramètres!$B$9),"",SUMIF(Calculs!$C$8:$C$247,$A38,Calculs!$AJ$8:$AJ$247))</f>
        <v/>
      </c>
    </row>
    <row r="39" ht="28" customHeight="1">
      <c r="A39" s="27" t="str">
        <f>IF(Paramètres!F14="","",Paramètres!F14)</f>
        <v/>
      </c>
      <c r="B39" s="27" t="str">
        <f>IF(A39="","","jours / semaine")</f>
        <v/>
      </c>
      <c r="C39" s="26" t="str">
        <f>IF(OR($A39="",1&gt;Paramètres!$B$9),"",SUMIF(Calculs!$C$8:$C$247,$A39,Calculs!$X$8:$X$247))</f>
        <v/>
      </c>
      <c r="D39" s="26" t="str">
        <f>IF(OR($A39="",2&gt;Paramètres!$B$9),"",SUMIF(Calculs!$C$8:$C$247,$A39,Calculs!$Y$8:$Y$247))</f>
        <v/>
      </c>
      <c r="E39" s="26" t="str">
        <f>IF(OR($A39="",3&gt;Paramètres!$B$9),"",SUMIF(Calculs!$C$8:$C$247,$A39,Calculs!$Z$8:$Z$247))</f>
        <v/>
      </c>
      <c r="F39" s="26" t="str">
        <f>IF(OR($A39="",4&gt;Paramètres!$B$9),"",SUMIF(Calculs!$C$8:$C$247,$A39,Calculs!$AA$8:$AA$247))</f>
        <v/>
      </c>
      <c r="G39" s="26" t="str">
        <f>IF(OR($A39="",5&gt;Paramètres!$B$9),"",SUMIF(Calculs!$C$8:$C$247,$A39,Calculs!$AB$8:$AB$247))</f>
        <v/>
      </c>
      <c r="H39" s="26" t="str">
        <f>IF(OR($A39="",6&gt;Paramètres!$B$9),"",SUMIF(Calculs!$C$8:$C$247,$A39,Calculs!$AC$8:$AC$247))</f>
        <v/>
      </c>
      <c r="I39" s="26" t="str">
        <f>IF(OR($A39="",7&gt;Paramètres!$B$9),"",SUMIF(Calculs!$C$8:$C$247,$A39,Calculs!$AD$8:$AD$247))</f>
        <v/>
      </c>
      <c r="J39" s="26" t="str">
        <f>IF(OR($A39="",8&gt;Paramètres!$B$9),"",SUMIF(Calculs!$C$8:$C$247,$A39,Calculs!$AE$8:$AE$247))</f>
        <v/>
      </c>
      <c r="K39" s="26" t="str">
        <f>IF(OR($A39="",9&gt;Paramètres!$B$9),"",SUMIF(Calculs!$C$8:$C$247,$A39,Calculs!$AF$8:$AF$247))</f>
        <v/>
      </c>
      <c r="L39" s="26" t="str">
        <f>IF(OR($A39="",10&gt;Paramètres!$B$9),"",SUMIF(Calculs!$C$8:$C$247,$A39,Calculs!$AG$8:$AG$247))</f>
        <v/>
      </c>
      <c r="M39" s="26" t="str">
        <f>IF(OR($A39="",11&gt;Paramètres!$B$9),"",SUMIF(Calculs!$C$8:$C$247,$A39,Calculs!$AH$8:$AH$247))</f>
        <v/>
      </c>
      <c r="N39" s="26" t="str">
        <f>IF(OR($A39="",12&gt;Paramètres!$B$9),"",SUMIF(Calculs!$C$8:$C$247,$A39,Calculs!$AI$8:$AI$247))</f>
        <v/>
      </c>
      <c r="O39" s="26" t="str">
        <f>IF(OR($A39="",13&gt;Paramètres!$B$9),"",SUMIF(Calculs!$C$8:$C$247,$A39,Calculs!$AJ$8:$AJ$247))</f>
        <v/>
      </c>
    </row>
    <row r="40" ht="28" customHeight="1">
      <c r="A40" s="25" t="str">
        <f>IF(Paramètres!F15="","",Paramètres!F15)</f>
        <v/>
      </c>
      <c r="B40" s="25" t="str">
        <f>IF(A40="","","jours / semaine")</f>
        <v/>
      </c>
      <c r="C40" s="24" t="str">
        <f>IF(OR($A40="",1&gt;Paramètres!$B$9),"",SUMIF(Calculs!$C$8:$C$247,$A40,Calculs!$X$8:$X$247))</f>
        <v/>
      </c>
      <c r="D40" s="24" t="str">
        <f>IF(OR($A40="",2&gt;Paramètres!$B$9),"",SUMIF(Calculs!$C$8:$C$247,$A40,Calculs!$Y$8:$Y$247))</f>
        <v/>
      </c>
      <c r="E40" s="24" t="str">
        <f>IF(OR($A40="",3&gt;Paramètres!$B$9),"",SUMIF(Calculs!$C$8:$C$247,$A40,Calculs!$Z$8:$Z$247))</f>
        <v/>
      </c>
      <c r="F40" s="24" t="str">
        <f>IF(OR($A40="",4&gt;Paramètres!$B$9),"",SUMIF(Calculs!$C$8:$C$247,$A40,Calculs!$AA$8:$AA$247))</f>
        <v/>
      </c>
      <c r="G40" s="24" t="str">
        <f>IF(OR($A40="",5&gt;Paramètres!$B$9),"",SUMIF(Calculs!$C$8:$C$247,$A40,Calculs!$AB$8:$AB$247))</f>
        <v/>
      </c>
      <c r="H40" s="24" t="str">
        <f>IF(OR($A40="",6&gt;Paramètres!$B$9),"",SUMIF(Calculs!$C$8:$C$247,$A40,Calculs!$AC$8:$AC$247))</f>
        <v/>
      </c>
      <c r="I40" s="24" t="str">
        <f>IF(OR($A40="",7&gt;Paramètres!$B$9),"",SUMIF(Calculs!$C$8:$C$247,$A40,Calculs!$AD$8:$AD$247))</f>
        <v/>
      </c>
      <c r="J40" s="24" t="str">
        <f>IF(OR($A40="",8&gt;Paramètres!$B$9),"",SUMIF(Calculs!$C$8:$C$247,$A40,Calculs!$AE$8:$AE$247))</f>
        <v/>
      </c>
      <c r="K40" s="24" t="str">
        <f>IF(OR($A40="",9&gt;Paramètres!$B$9),"",SUMIF(Calculs!$C$8:$C$247,$A40,Calculs!$AF$8:$AF$247))</f>
        <v/>
      </c>
      <c r="L40" s="24" t="str">
        <f>IF(OR($A40="",10&gt;Paramètres!$B$9),"",SUMIF(Calculs!$C$8:$C$247,$A40,Calculs!$AG$8:$AG$247))</f>
        <v/>
      </c>
      <c r="M40" s="24" t="str">
        <f>IF(OR($A40="",11&gt;Paramètres!$B$9),"",SUMIF(Calculs!$C$8:$C$247,$A40,Calculs!$AH$8:$AH$247))</f>
        <v/>
      </c>
      <c r="N40" s="24" t="str">
        <f>IF(OR($A40="",12&gt;Paramètres!$B$9),"",SUMIF(Calculs!$C$8:$C$247,$A40,Calculs!$AI$8:$AI$247))</f>
        <v/>
      </c>
      <c r="O40" s="24" t="str">
        <f>IF(OR($A40="",13&gt;Paramètres!$B$9),"",SUMIF(Calculs!$C$8:$C$247,$A40,Calculs!$AJ$8:$AJ$247))</f>
        <v/>
      </c>
    </row>
    <row r="41" ht="28" customHeight="1">
      <c r="A41" s="27" t="str">
        <f>IF(Paramètres!F16="","",Paramètres!F16)</f>
        <v/>
      </c>
      <c r="B41" s="27" t="str">
        <f>IF(A41="","","jours / semaine")</f>
        <v/>
      </c>
      <c r="C41" s="26" t="str">
        <f>IF(OR($A41="",1&gt;Paramètres!$B$9),"",SUMIF(Calculs!$C$8:$C$247,$A41,Calculs!$X$8:$X$247))</f>
        <v/>
      </c>
      <c r="D41" s="26" t="str">
        <f>IF(OR($A41="",2&gt;Paramètres!$B$9),"",SUMIF(Calculs!$C$8:$C$247,$A41,Calculs!$Y$8:$Y$247))</f>
        <v/>
      </c>
      <c r="E41" s="26" t="str">
        <f>IF(OR($A41="",3&gt;Paramètres!$B$9),"",SUMIF(Calculs!$C$8:$C$247,$A41,Calculs!$Z$8:$Z$247))</f>
        <v/>
      </c>
      <c r="F41" s="26" t="str">
        <f>IF(OR($A41="",4&gt;Paramètres!$B$9),"",SUMIF(Calculs!$C$8:$C$247,$A41,Calculs!$AA$8:$AA$247))</f>
        <v/>
      </c>
      <c r="G41" s="26" t="str">
        <f>IF(OR($A41="",5&gt;Paramètres!$B$9),"",SUMIF(Calculs!$C$8:$C$247,$A41,Calculs!$AB$8:$AB$247))</f>
        <v/>
      </c>
      <c r="H41" s="26" t="str">
        <f>IF(OR($A41="",6&gt;Paramètres!$B$9),"",SUMIF(Calculs!$C$8:$C$247,$A41,Calculs!$AC$8:$AC$247))</f>
        <v/>
      </c>
      <c r="I41" s="26" t="str">
        <f>IF(OR($A41="",7&gt;Paramètres!$B$9),"",SUMIF(Calculs!$C$8:$C$247,$A41,Calculs!$AD$8:$AD$247))</f>
        <v/>
      </c>
      <c r="J41" s="26" t="str">
        <f>IF(OR($A41="",8&gt;Paramètres!$B$9),"",SUMIF(Calculs!$C$8:$C$247,$A41,Calculs!$AE$8:$AE$247))</f>
        <v/>
      </c>
      <c r="K41" s="26" t="str">
        <f>IF(OR($A41="",9&gt;Paramètres!$B$9),"",SUMIF(Calculs!$C$8:$C$247,$A41,Calculs!$AF$8:$AF$247))</f>
        <v/>
      </c>
      <c r="L41" s="26" t="str">
        <f>IF(OR($A41="",10&gt;Paramètres!$B$9),"",SUMIF(Calculs!$C$8:$C$247,$A41,Calculs!$AG$8:$AG$247))</f>
        <v/>
      </c>
      <c r="M41" s="26" t="str">
        <f>IF(OR($A41="",11&gt;Paramètres!$B$9),"",SUMIF(Calculs!$C$8:$C$247,$A41,Calculs!$AH$8:$AH$247))</f>
        <v/>
      </c>
      <c r="N41" s="26" t="str">
        <f>IF(OR($A41="",12&gt;Paramètres!$B$9),"",SUMIF(Calculs!$C$8:$C$247,$A41,Calculs!$AI$8:$AI$247))</f>
        <v/>
      </c>
      <c r="O41" s="26" t="str">
        <f>IF(OR($A41="",13&gt;Paramètres!$B$9),"",SUMIF(Calculs!$C$8:$C$247,$A41,Calculs!$AJ$8:$AJ$247))</f>
        <v/>
      </c>
    </row>
    <row r="42" ht="28" customHeight="1">
      <c r="A42" s="25" t="str">
        <f>IF(Paramètres!F17="","",Paramètres!F17)</f>
        <v/>
      </c>
      <c r="B42" s="25" t="str">
        <f>IF(A42="","","jours / semaine")</f>
        <v/>
      </c>
      <c r="C42" s="24" t="str">
        <f>IF(OR($A42="",1&gt;Paramètres!$B$9),"",SUMIF(Calculs!$C$8:$C$247,$A42,Calculs!$X$8:$X$247))</f>
        <v/>
      </c>
      <c r="D42" s="24" t="str">
        <f>IF(OR($A42="",2&gt;Paramètres!$B$9),"",SUMIF(Calculs!$C$8:$C$247,$A42,Calculs!$Y$8:$Y$247))</f>
        <v/>
      </c>
      <c r="E42" s="24" t="str">
        <f>IF(OR($A42="",3&gt;Paramètres!$B$9),"",SUMIF(Calculs!$C$8:$C$247,$A42,Calculs!$Z$8:$Z$247))</f>
        <v/>
      </c>
      <c r="F42" s="24" t="str">
        <f>IF(OR($A42="",4&gt;Paramètres!$B$9),"",SUMIF(Calculs!$C$8:$C$247,$A42,Calculs!$AA$8:$AA$247))</f>
        <v/>
      </c>
      <c r="G42" s="24" t="str">
        <f>IF(OR($A42="",5&gt;Paramètres!$B$9),"",SUMIF(Calculs!$C$8:$C$247,$A42,Calculs!$AB$8:$AB$247))</f>
        <v/>
      </c>
      <c r="H42" s="24" t="str">
        <f>IF(OR($A42="",6&gt;Paramètres!$B$9),"",SUMIF(Calculs!$C$8:$C$247,$A42,Calculs!$AC$8:$AC$247))</f>
        <v/>
      </c>
      <c r="I42" s="24" t="str">
        <f>IF(OR($A42="",7&gt;Paramètres!$B$9),"",SUMIF(Calculs!$C$8:$C$247,$A42,Calculs!$AD$8:$AD$247))</f>
        <v/>
      </c>
      <c r="J42" s="24" t="str">
        <f>IF(OR($A42="",8&gt;Paramètres!$B$9),"",SUMIF(Calculs!$C$8:$C$247,$A42,Calculs!$AE$8:$AE$247))</f>
        <v/>
      </c>
      <c r="K42" s="24" t="str">
        <f>IF(OR($A42="",9&gt;Paramètres!$B$9),"",SUMIF(Calculs!$C$8:$C$247,$A42,Calculs!$AF$8:$AF$247))</f>
        <v/>
      </c>
      <c r="L42" s="24" t="str">
        <f>IF(OR($A42="",10&gt;Paramètres!$B$9),"",SUMIF(Calculs!$C$8:$C$247,$A42,Calculs!$AG$8:$AG$247))</f>
        <v/>
      </c>
      <c r="M42" s="24" t="str">
        <f>IF(OR($A42="",11&gt;Paramètres!$B$9),"",SUMIF(Calculs!$C$8:$C$247,$A42,Calculs!$AH$8:$AH$247))</f>
        <v/>
      </c>
      <c r="N42" s="24" t="str">
        <f>IF(OR($A42="",12&gt;Paramètres!$B$9),"",SUMIF(Calculs!$C$8:$C$247,$A42,Calculs!$AI$8:$AI$247))</f>
        <v/>
      </c>
      <c r="O42" s="24" t="str">
        <f>IF(OR($A42="",13&gt;Paramètres!$B$9),"",SUMIF(Calculs!$C$8:$C$247,$A42,Calculs!$AJ$8:$AJ$247))</f>
        <v/>
      </c>
    </row>
    <row r="43" ht="28" customHeight="1">
      <c r="A43" s="27" t="str">
        <f>IF(Paramètres!F18="","",Paramètres!F18)</f>
        <v/>
      </c>
      <c r="B43" s="27" t="str">
        <f>IF(A43="","","jours / semaine")</f>
        <v/>
      </c>
      <c r="C43" s="26" t="str">
        <f>IF(OR($A43="",1&gt;Paramètres!$B$9),"",SUMIF(Calculs!$C$8:$C$247,$A43,Calculs!$X$8:$X$247))</f>
        <v/>
      </c>
      <c r="D43" s="26" t="str">
        <f>IF(OR($A43="",2&gt;Paramètres!$B$9),"",SUMIF(Calculs!$C$8:$C$247,$A43,Calculs!$Y$8:$Y$247))</f>
        <v/>
      </c>
      <c r="E43" s="26" t="str">
        <f>IF(OR($A43="",3&gt;Paramètres!$B$9),"",SUMIF(Calculs!$C$8:$C$247,$A43,Calculs!$Z$8:$Z$247))</f>
        <v/>
      </c>
      <c r="F43" s="26" t="str">
        <f>IF(OR($A43="",4&gt;Paramètres!$B$9),"",SUMIF(Calculs!$C$8:$C$247,$A43,Calculs!$AA$8:$AA$247))</f>
        <v/>
      </c>
      <c r="G43" s="26" t="str">
        <f>IF(OR($A43="",5&gt;Paramètres!$B$9),"",SUMIF(Calculs!$C$8:$C$247,$A43,Calculs!$AB$8:$AB$247))</f>
        <v/>
      </c>
      <c r="H43" s="26" t="str">
        <f>IF(OR($A43="",6&gt;Paramètres!$B$9),"",SUMIF(Calculs!$C$8:$C$247,$A43,Calculs!$AC$8:$AC$247))</f>
        <v/>
      </c>
      <c r="I43" s="26" t="str">
        <f>IF(OR($A43="",7&gt;Paramètres!$B$9),"",SUMIF(Calculs!$C$8:$C$247,$A43,Calculs!$AD$8:$AD$247))</f>
        <v/>
      </c>
      <c r="J43" s="26" t="str">
        <f>IF(OR($A43="",8&gt;Paramètres!$B$9),"",SUMIF(Calculs!$C$8:$C$247,$A43,Calculs!$AE$8:$AE$247))</f>
        <v/>
      </c>
      <c r="K43" s="26" t="str">
        <f>IF(OR($A43="",9&gt;Paramètres!$B$9),"",SUMIF(Calculs!$C$8:$C$247,$A43,Calculs!$AF$8:$AF$247))</f>
        <v/>
      </c>
      <c r="L43" s="26" t="str">
        <f>IF(OR($A43="",10&gt;Paramètres!$B$9),"",SUMIF(Calculs!$C$8:$C$247,$A43,Calculs!$AG$8:$AG$247))</f>
        <v/>
      </c>
      <c r="M43" s="26" t="str">
        <f>IF(OR($A43="",11&gt;Paramètres!$B$9),"",SUMIF(Calculs!$C$8:$C$247,$A43,Calculs!$AH$8:$AH$247))</f>
        <v/>
      </c>
      <c r="N43" s="26" t="str">
        <f>IF(OR($A43="",12&gt;Paramètres!$B$9),"",SUMIF(Calculs!$C$8:$C$247,$A43,Calculs!$AI$8:$AI$247))</f>
        <v/>
      </c>
      <c r="O43" s="26" t="str">
        <f>IF(OR($A43="",13&gt;Paramètres!$B$9),"",SUMIF(Calculs!$C$8:$C$247,$A43,Calculs!$AJ$8:$AJ$247))</f>
        <v/>
      </c>
    </row>
    <row r="44" ht="28" customHeight="1">
      <c r="A44" s="25" t="str">
        <f>IF(Paramètres!F19="","",Paramètres!F19)</f>
        <v/>
      </c>
      <c r="B44" s="25" t="str">
        <f>IF(A44="","","jours / semaine")</f>
        <v/>
      </c>
      <c r="C44" s="24" t="str">
        <f>IF(OR($A44="",1&gt;Paramètres!$B$9),"",SUMIF(Calculs!$C$8:$C$247,$A44,Calculs!$X$8:$X$247))</f>
        <v/>
      </c>
      <c r="D44" s="24" t="str">
        <f>IF(OR($A44="",2&gt;Paramètres!$B$9),"",SUMIF(Calculs!$C$8:$C$247,$A44,Calculs!$Y$8:$Y$247))</f>
        <v/>
      </c>
      <c r="E44" s="24" t="str">
        <f>IF(OR($A44="",3&gt;Paramètres!$B$9),"",SUMIF(Calculs!$C$8:$C$247,$A44,Calculs!$Z$8:$Z$247))</f>
        <v/>
      </c>
      <c r="F44" s="24" t="str">
        <f>IF(OR($A44="",4&gt;Paramètres!$B$9),"",SUMIF(Calculs!$C$8:$C$247,$A44,Calculs!$AA$8:$AA$247))</f>
        <v/>
      </c>
      <c r="G44" s="24" t="str">
        <f>IF(OR($A44="",5&gt;Paramètres!$B$9),"",SUMIF(Calculs!$C$8:$C$247,$A44,Calculs!$AB$8:$AB$247))</f>
        <v/>
      </c>
      <c r="H44" s="24" t="str">
        <f>IF(OR($A44="",6&gt;Paramètres!$B$9),"",SUMIF(Calculs!$C$8:$C$247,$A44,Calculs!$AC$8:$AC$247))</f>
        <v/>
      </c>
      <c r="I44" s="24" t="str">
        <f>IF(OR($A44="",7&gt;Paramètres!$B$9),"",SUMIF(Calculs!$C$8:$C$247,$A44,Calculs!$AD$8:$AD$247))</f>
        <v/>
      </c>
      <c r="J44" s="24" t="str">
        <f>IF(OR($A44="",8&gt;Paramètres!$B$9),"",SUMIF(Calculs!$C$8:$C$247,$A44,Calculs!$AE$8:$AE$247))</f>
        <v/>
      </c>
      <c r="K44" s="24" t="str">
        <f>IF(OR($A44="",9&gt;Paramètres!$B$9),"",SUMIF(Calculs!$C$8:$C$247,$A44,Calculs!$AF$8:$AF$247))</f>
        <v/>
      </c>
      <c r="L44" s="24" t="str">
        <f>IF(OR($A44="",10&gt;Paramètres!$B$9),"",SUMIF(Calculs!$C$8:$C$247,$A44,Calculs!$AG$8:$AG$247))</f>
        <v/>
      </c>
      <c r="M44" s="24" t="str">
        <f>IF(OR($A44="",11&gt;Paramètres!$B$9),"",SUMIF(Calculs!$C$8:$C$247,$A44,Calculs!$AH$8:$AH$247))</f>
        <v/>
      </c>
      <c r="N44" s="24" t="str">
        <f>IF(OR($A44="",12&gt;Paramètres!$B$9),"",SUMIF(Calculs!$C$8:$C$247,$A44,Calculs!$AI$8:$AI$247))</f>
        <v/>
      </c>
      <c r="O44" s="24" t="str">
        <f>IF(OR($A44="",13&gt;Paramètres!$B$9),"",SUMIF(Calculs!$C$8:$C$247,$A44,Calculs!$AJ$8:$AJ$247))</f>
        <v/>
      </c>
    </row>
    <row r="45" ht="28" customHeight="1">
      <c r="A45" s="27" t="str">
        <f>IF(Paramètres!F20="","",Paramètres!F20)</f>
        <v/>
      </c>
      <c r="B45" s="27" t="str">
        <f>IF(A45="","","jours / semaine")</f>
        <v/>
      </c>
      <c r="C45" s="26" t="str">
        <f>IF(OR($A45="",1&gt;Paramètres!$B$9),"",SUMIF(Calculs!$C$8:$C$247,$A45,Calculs!$X$8:$X$247))</f>
        <v/>
      </c>
      <c r="D45" s="26" t="str">
        <f>IF(OR($A45="",2&gt;Paramètres!$B$9),"",SUMIF(Calculs!$C$8:$C$247,$A45,Calculs!$Y$8:$Y$247))</f>
        <v/>
      </c>
      <c r="E45" s="26" t="str">
        <f>IF(OR($A45="",3&gt;Paramètres!$B$9),"",SUMIF(Calculs!$C$8:$C$247,$A45,Calculs!$Z$8:$Z$247))</f>
        <v/>
      </c>
      <c r="F45" s="26" t="str">
        <f>IF(OR($A45="",4&gt;Paramètres!$B$9),"",SUMIF(Calculs!$C$8:$C$247,$A45,Calculs!$AA$8:$AA$247))</f>
        <v/>
      </c>
      <c r="G45" s="26" t="str">
        <f>IF(OR($A45="",5&gt;Paramètres!$B$9),"",SUMIF(Calculs!$C$8:$C$247,$A45,Calculs!$AB$8:$AB$247))</f>
        <v/>
      </c>
      <c r="H45" s="26" t="str">
        <f>IF(OR($A45="",6&gt;Paramètres!$B$9),"",SUMIF(Calculs!$C$8:$C$247,$A45,Calculs!$AC$8:$AC$247))</f>
        <v/>
      </c>
      <c r="I45" s="26" t="str">
        <f>IF(OR($A45="",7&gt;Paramètres!$B$9),"",SUMIF(Calculs!$C$8:$C$247,$A45,Calculs!$AD$8:$AD$247))</f>
        <v/>
      </c>
      <c r="J45" s="26" t="str">
        <f>IF(OR($A45="",8&gt;Paramètres!$B$9),"",SUMIF(Calculs!$C$8:$C$247,$A45,Calculs!$AE$8:$AE$247))</f>
        <v/>
      </c>
      <c r="K45" s="26" t="str">
        <f>IF(OR($A45="",9&gt;Paramètres!$B$9),"",SUMIF(Calculs!$C$8:$C$247,$A45,Calculs!$AF$8:$AF$247))</f>
        <v/>
      </c>
      <c r="L45" s="26" t="str">
        <f>IF(OR($A45="",10&gt;Paramètres!$B$9),"",SUMIF(Calculs!$C$8:$C$247,$A45,Calculs!$AG$8:$AG$247))</f>
        <v/>
      </c>
      <c r="M45" s="26" t="str">
        <f>IF(OR($A45="",11&gt;Paramètres!$B$9),"",SUMIF(Calculs!$C$8:$C$247,$A45,Calculs!$AH$8:$AH$247))</f>
        <v/>
      </c>
      <c r="N45" s="26" t="str">
        <f>IF(OR($A45="",12&gt;Paramètres!$B$9),"",SUMIF(Calculs!$C$8:$C$247,$A45,Calculs!$AI$8:$AI$247))</f>
        <v/>
      </c>
      <c r="O45" s="26" t="str">
        <f>IF(OR($A45="",13&gt;Paramètres!$B$9),"",SUMIF(Calculs!$C$8:$C$247,$A45,Calculs!$AJ$8:$AJ$247))</f>
        <v/>
      </c>
    </row>
    <row r="46" ht="28" customHeight="1">
      <c r="A46" s="25" t="str">
        <f>IF(Paramètres!F21="","",Paramètres!F21)</f>
        <v/>
      </c>
      <c r="B46" s="25" t="str">
        <f>IF(A46="","","jours / semaine")</f>
        <v/>
      </c>
      <c r="C46" s="24" t="str">
        <f>IF(OR($A46="",1&gt;Paramètres!$B$9),"",SUMIF(Calculs!$C$8:$C$247,$A46,Calculs!$X$8:$X$247))</f>
        <v/>
      </c>
      <c r="D46" s="24" t="str">
        <f>IF(OR($A46="",2&gt;Paramètres!$B$9),"",SUMIF(Calculs!$C$8:$C$247,$A46,Calculs!$Y$8:$Y$247))</f>
        <v/>
      </c>
      <c r="E46" s="24" t="str">
        <f>IF(OR($A46="",3&gt;Paramètres!$B$9),"",SUMIF(Calculs!$C$8:$C$247,$A46,Calculs!$Z$8:$Z$247))</f>
        <v/>
      </c>
      <c r="F46" s="24" t="str">
        <f>IF(OR($A46="",4&gt;Paramètres!$B$9),"",SUMIF(Calculs!$C$8:$C$247,$A46,Calculs!$AA$8:$AA$247))</f>
        <v/>
      </c>
      <c r="G46" s="24" t="str">
        <f>IF(OR($A46="",5&gt;Paramètres!$B$9),"",SUMIF(Calculs!$C$8:$C$247,$A46,Calculs!$AB$8:$AB$247))</f>
        <v/>
      </c>
      <c r="H46" s="24" t="str">
        <f>IF(OR($A46="",6&gt;Paramètres!$B$9),"",SUMIF(Calculs!$C$8:$C$247,$A46,Calculs!$AC$8:$AC$247))</f>
        <v/>
      </c>
      <c r="I46" s="24" t="str">
        <f>IF(OR($A46="",7&gt;Paramètres!$B$9),"",SUMIF(Calculs!$C$8:$C$247,$A46,Calculs!$AD$8:$AD$247))</f>
        <v/>
      </c>
      <c r="J46" s="24" t="str">
        <f>IF(OR($A46="",8&gt;Paramètres!$B$9),"",SUMIF(Calculs!$C$8:$C$247,$A46,Calculs!$AE$8:$AE$247))</f>
        <v/>
      </c>
      <c r="K46" s="24" t="str">
        <f>IF(OR($A46="",9&gt;Paramètres!$B$9),"",SUMIF(Calculs!$C$8:$C$247,$A46,Calculs!$AF$8:$AF$247))</f>
        <v/>
      </c>
      <c r="L46" s="24" t="str">
        <f>IF(OR($A46="",10&gt;Paramètres!$B$9),"",SUMIF(Calculs!$C$8:$C$247,$A46,Calculs!$AG$8:$AG$247))</f>
        <v/>
      </c>
      <c r="M46" s="24" t="str">
        <f>IF(OR($A46="",11&gt;Paramètres!$B$9),"",SUMIF(Calculs!$C$8:$C$247,$A46,Calculs!$AH$8:$AH$247))</f>
        <v/>
      </c>
      <c r="N46" s="24" t="str">
        <f>IF(OR($A46="",12&gt;Paramètres!$B$9),"",SUMIF(Calculs!$C$8:$C$247,$A46,Calculs!$AI$8:$AI$247))</f>
        <v/>
      </c>
      <c r="O46" s="24" t="str">
        <f>IF(OR($A46="",13&gt;Paramètres!$B$9),"",SUMIF(Calculs!$C$8:$C$247,$A46,Calculs!$AJ$8:$AJ$247))</f>
        <v/>
      </c>
    </row>
    <row r="47" ht="28" customHeight="1">
      <c r="A47" s="27" t="str">
        <f>IF(Paramètres!F22="","",Paramètres!F22)</f>
        <v/>
      </c>
      <c r="B47" s="27" t="str">
        <f>IF(A47="","","jours / semaine")</f>
        <v/>
      </c>
      <c r="C47" s="26" t="str">
        <f>IF(OR($A47="",1&gt;Paramètres!$B$9),"",SUMIF(Calculs!$C$8:$C$247,$A47,Calculs!$X$8:$X$247))</f>
        <v/>
      </c>
      <c r="D47" s="26" t="str">
        <f>IF(OR($A47="",2&gt;Paramètres!$B$9),"",SUMIF(Calculs!$C$8:$C$247,$A47,Calculs!$Y$8:$Y$247))</f>
        <v/>
      </c>
      <c r="E47" s="26" t="str">
        <f>IF(OR($A47="",3&gt;Paramètres!$B$9),"",SUMIF(Calculs!$C$8:$C$247,$A47,Calculs!$Z$8:$Z$247))</f>
        <v/>
      </c>
      <c r="F47" s="26" t="str">
        <f>IF(OR($A47="",4&gt;Paramètres!$B$9),"",SUMIF(Calculs!$C$8:$C$247,$A47,Calculs!$AA$8:$AA$247))</f>
        <v/>
      </c>
      <c r="G47" s="26" t="str">
        <f>IF(OR($A47="",5&gt;Paramètres!$B$9),"",SUMIF(Calculs!$C$8:$C$247,$A47,Calculs!$AB$8:$AB$247))</f>
        <v/>
      </c>
      <c r="H47" s="26" t="str">
        <f>IF(OR($A47="",6&gt;Paramètres!$B$9),"",SUMIF(Calculs!$C$8:$C$247,$A47,Calculs!$AC$8:$AC$247))</f>
        <v/>
      </c>
      <c r="I47" s="26" t="str">
        <f>IF(OR($A47="",7&gt;Paramètres!$B$9),"",SUMIF(Calculs!$C$8:$C$247,$A47,Calculs!$AD$8:$AD$247))</f>
        <v/>
      </c>
      <c r="J47" s="26" t="str">
        <f>IF(OR($A47="",8&gt;Paramètres!$B$9),"",SUMIF(Calculs!$C$8:$C$247,$A47,Calculs!$AE$8:$AE$247))</f>
        <v/>
      </c>
      <c r="K47" s="26" t="str">
        <f>IF(OR($A47="",9&gt;Paramètres!$B$9),"",SUMIF(Calculs!$C$8:$C$247,$A47,Calculs!$AF$8:$AF$247))</f>
        <v/>
      </c>
      <c r="L47" s="26" t="str">
        <f>IF(OR($A47="",10&gt;Paramètres!$B$9),"",SUMIF(Calculs!$C$8:$C$247,$A47,Calculs!$AG$8:$AG$247))</f>
        <v/>
      </c>
      <c r="M47" s="26" t="str">
        <f>IF(OR($A47="",11&gt;Paramètres!$B$9),"",SUMIF(Calculs!$C$8:$C$247,$A47,Calculs!$AH$8:$AH$247))</f>
        <v/>
      </c>
      <c r="N47" s="26" t="str">
        <f>IF(OR($A47="",12&gt;Paramètres!$B$9),"",SUMIF(Calculs!$C$8:$C$247,$A47,Calculs!$AI$8:$AI$247))</f>
        <v/>
      </c>
      <c r="O47" s="26" t="str">
        <f>IF(OR($A47="",13&gt;Paramètres!$B$9),"",SUMIF(Calculs!$C$8:$C$247,$A47,Calculs!$AJ$8:$AJ$247))</f>
        <v/>
      </c>
    </row>
    <row r="48" ht="28" customHeight="1">
      <c r="A48" s="25" t="str">
        <f>IF(Paramètres!F23="","",Paramètres!F23)</f>
        <v/>
      </c>
      <c r="B48" s="25" t="str">
        <f>IF(A48="","","jours / semaine")</f>
        <v/>
      </c>
      <c r="C48" s="24" t="str">
        <f>IF(OR($A48="",1&gt;Paramètres!$B$9),"",SUMIF(Calculs!$C$8:$C$247,$A48,Calculs!$X$8:$X$247))</f>
        <v/>
      </c>
      <c r="D48" s="24" t="str">
        <f>IF(OR($A48="",2&gt;Paramètres!$B$9),"",SUMIF(Calculs!$C$8:$C$247,$A48,Calculs!$Y$8:$Y$247))</f>
        <v/>
      </c>
      <c r="E48" s="24" t="str">
        <f>IF(OR($A48="",3&gt;Paramètres!$B$9),"",SUMIF(Calculs!$C$8:$C$247,$A48,Calculs!$Z$8:$Z$247))</f>
        <v/>
      </c>
      <c r="F48" s="24" t="str">
        <f>IF(OR($A48="",4&gt;Paramètres!$B$9),"",SUMIF(Calculs!$C$8:$C$247,$A48,Calculs!$AA$8:$AA$247))</f>
        <v/>
      </c>
      <c r="G48" s="24" t="str">
        <f>IF(OR($A48="",5&gt;Paramètres!$B$9),"",SUMIF(Calculs!$C$8:$C$247,$A48,Calculs!$AB$8:$AB$247))</f>
        <v/>
      </c>
      <c r="H48" s="24" t="str">
        <f>IF(OR($A48="",6&gt;Paramètres!$B$9),"",SUMIF(Calculs!$C$8:$C$247,$A48,Calculs!$AC$8:$AC$247))</f>
        <v/>
      </c>
      <c r="I48" s="24" t="str">
        <f>IF(OR($A48="",7&gt;Paramètres!$B$9),"",SUMIF(Calculs!$C$8:$C$247,$A48,Calculs!$AD$8:$AD$247))</f>
        <v/>
      </c>
      <c r="J48" s="24" t="str">
        <f>IF(OR($A48="",8&gt;Paramètres!$B$9),"",SUMIF(Calculs!$C$8:$C$247,$A48,Calculs!$AE$8:$AE$247))</f>
        <v/>
      </c>
      <c r="K48" s="24" t="str">
        <f>IF(OR($A48="",9&gt;Paramètres!$B$9),"",SUMIF(Calculs!$C$8:$C$247,$A48,Calculs!$AF$8:$AF$247))</f>
        <v/>
      </c>
      <c r="L48" s="24" t="str">
        <f>IF(OR($A48="",10&gt;Paramètres!$B$9),"",SUMIF(Calculs!$C$8:$C$247,$A48,Calculs!$AG$8:$AG$247))</f>
        <v/>
      </c>
      <c r="M48" s="24" t="str">
        <f>IF(OR($A48="",11&gt;Paramètres!$B$9),"",SUMIF(Calculs!$C$8:$C$247,$A48,Calculs!$AH$8:$AH$247))</f>
        <v/>
      </c>
      <c r="N48" s="24" t="str">
        <f>IF(OR($A48="",12&gt;Paramètres!$B$9),"",SUMIF(Calculs!$C$8:$C$247,$A48,Calculs!$AI$8:$AI$247))</f>
        <v/>
      </c>
      <c r="O48" s="24" t="str">
        <f>IF(OR($A48="",13&gt;Paramètres!$B$9),"",SUMIF(Calculs!$C$8:$C$247,$A48,Calculs!$AJ$8:$AJ$247))</f>
        <v/>
      </c>
    </row>
    <row r="49" ht="28" customHeight="1">
      <c r="A49" s="27" t="str">
        <f>IF(Paramètres!F24="","",Paramètres!F24)</f>
        <v/>
      </c>
      <c r="B49" s="27" t="str">
        <f>IF(A49="","","jours / semaine")</f>
        <v/>
      </c>
      <c r="C49" s="26" t="str">
        <f>IF(OR($A49="",1&gt;Paramètres!$B$9),"",SUMIF(Calculs!$C$8:$C$247,$A49,Calculs!$X$8:$X$247))</f>
        <v/>
      </c>
      <c r="D49" s="26" t="str">
        <f>IF(OR($A49="",2&gt;Paramètres!$B$9),"",SUMIF(Calculs!$C$8:$C$247,$A49,Calculs!$Y$8:$Y$247))</f>
        <v/>
      </c>
      <c r="E49" s="26" t="str">
        <f>IF(OR($A49="",3&gt;Paramètres!$B$9),"",SUMIF(Calculs!$C$8:$C$247,$A49,Calculs!$Z$8:$Z$247))</f>
        <v/>
      </c>
      <c r="F49" s="26" t="str">
        <f>IF(OR($A49="",4&gt;Paramètres!$B$9),"",SUMIF(Calculs!$C$8:$C$247,$A49,Calculs!$AA$8:$AA$247))</f>
        <v/>
      </c>
      <c r="G49" s="26" t="str">
        <f>IF(OR($A49="",5&gt;Paramètres!$B$9),"",SUMIF(Calculs!$C$8:$C$247,$A49,Calculs!$AB$8:$AB$247))</f>
        <v/>
      </c>
      <c r="H49" s="26" t="str">
        <f>IF(OR($A49="",6&gt;Paramètres!$B$9),"",SUMIF(Calculs!$C$8:$C$247,$A49,Calculs!$AC$8:$AC$247))</f>
        <v/>
      </c>
      <c r="I49" s="26" t="str">
        <f>IF(OR($A49="",7&gt;Paramètres!$B$9),"",SUMIF(Calculs!$C$8:$C$247,$A49,Calculs!$AD$8:$AD$247))</f>
        <v/>
      </c>
      <c r="J49" s="26" t="str">
        <f>IF(OR($A49="",8&gt;Paramètres!$B$9),"",SUMIF(Calculs!$C$8:$C$247,$A49,Calculs!$AE$8:$AE$247))</f>
        <v/>
      </c>
      <c r="K49" s="26" t="str">
        <f>IF(OR($A49="",9&gt;Paramètres!$B$9),"",SUMIF(Calculs!$C$8:$C$247,$A49,Calculs!$AF$8:$AF$247))</f>
        <v/>
      </c>
      <c r="L49" s="26" t="str">
        <f>IF(OR($A49="",10&gt;Paramètres!$B$9),"",SUMIF(Calculs!$C$8:$C$247,$A49,Calculs!$AG$8:$AG$247))</f>
        <v/>
      </c>
      <c r="M49" s="26" t="str">
        <f>IF(OR($A49="",11&gt;Paramètres!$B$9),"",SUMIF(Calculs!$C$8:$C$247,$A49,Calculs!$AH$8:$AH$247))</f>
        <v/>
      </c>
      <c r="N49" s="26" t="str">
        <f>IF(OR($A49="",12&gt;Paramètres!$B$9),"",SUMIF(Calculs!$C$8:$C$247,$A49,Calculs!$AI$8:$AI$247))</f>
        <v/>
      </c>
      <c r="O49" s="26" t="str">
        <f>IF(OR($A49="",13&gt;Paramètres!$B$9),"",SUMIF(Calculs!$C$8:$C$247,$A49,Calculs!$AJ$8:$AJ$247))</f>
        <v/>
      </c>
    </row>
    <row r="50" ht="28" customHeight="1">
      <c r="A50" s="25" t="str">
        <f>IF(Paramètres!F25="","",Paramètres!F25)</f>
        <v/>
      </c>
      <c r="B50" s="25" t="str">
        <f>IF(A50="","","jours / semaine")</f>
        <v/>
      </c>
      <c r="C50" s="24" t="str">
        <f>IF(OR($A50="",1&gt;Paramètres!$B$9),"",SUMIF(Calculs!$C$8:$C$247,$A50,Calculs!$X$8:$X$247))</f>
        <v/>
      </c>
      <c r="D50" s="24" t="str">
        <f>IF(OR($A50="",2&gt;Paramètres!$B$9),"",SUMIF(Calculs!$C$8:$C$247,$A50,Calculs!$Y$8:$Y$247))</f>
        <v/>
      </c>
      <c r="E50" s="24" t="str">
        <f>IF(OR($A50="",3&gt;Paramètres!$B$9),"",SUMIF(Calculs!$C$8:$C$247,$A50,Calculs!$Z$8:$Z$247))</f>
        <v/>
      </c>
      <c r="F50" s="24" t="str">
        <f>IF(OR($A50="",4&gt;Paramètres!$B$9),"",SUMIF(Calculs!$C$8:$C$247,$A50,Calculs!$AA$8:$AA$247))</f>
        <v/>
      </c>
      <c r="G50" s="24" t="str">
        <f>IF(OR($A50="",5&gt;Paramètres!$B$9),"",SUMIF(Calculs!$C$8:$C$247,$A50,Calculs!$AB$8:$AB$247))</f>
        <v/>
      </c>
      <c r="H50" s="24" t="str">
        <f>IF(OR($A50="",6&gt;Paramètres!$B$9),"",SUMIF(Calculs!$C$8:$C$247,$A50,Calculs!$AC$8:$AC$247))</f>
        <v/>
      </c>
      <c r="I50" s="24" t="str">
        <f>IF(OR($A50="",7&gt;Paramètres!$B$9),"",SUMIF(Calculs!$C$8:$C$247,$A50,Calculs!$AD$8:$AD$247))</f>
        <v/>
      </c>
      <c r="J50" s="24" t="str">
        <f>IF(OR($A50="",8&gt;Paramètres!$B$9),"",SUMIF(Calculs!$C$8:$C$247,$A50,Calculs!$AE$8:$AE$247))</f>
        <v/>
      </c>
      <c r="K50" s="24" t="str">
        <f>IF(OR($A50="",9&gt;Paramètres!$B$9),"",SUMIF(Calculs!$C$8:$C$247,$A50,Calculs!$AF$8:$AF$247))</f>
        <v/>
      </c>
      <c r="L50" s="24" t="str">
        <f>IF(OR($A50="",10&gt;Paramètres!$B$9),"",SUMIF(Calculs!$C$8:$C$247,$A50,Calculs!$AG$8:$AG$247))</f>
        <v/>
      </c>
      <c r="M50" s="24" t="str">
        <f>IF(OR($A50="",11&gt;Paramètres!$B$9),"",SUMIF(Calculs!$C$8:$C$247,$A50,Calculs!$AH$8:$AH$247))</f>
        <v/>
      </c>
      <c r="N50" s="24" t="str">
        <f>IF(OR($A50="",12&gt;Paramètres!$B$9),"",SUMIF(Calculs!$C$8:$C$247,$A50,Calculs!$AI$8:$AI$247))</f>
        <v/>
      </c>
      <c r="O50" s="24" t="str">
        <f>IF(OR($A50="",13&gt;Paramètres!$B$9),"",SUMIF(Calculs!$C$8:$C$247,$A50,Calculs!$AJ$8:$AJ$247))</f>
        <v/>
      </c>
    </row>
    <row r="51" ht="28" customHeight="1">
      <c r="A51" s="27" t="str">
        <f>IF(Paramètres!F26="","",Paramètres!F26)</f>
        <v/>
      </c>
      <c r="B51" s="27" t="str">
        <f>IF(A51="","","jours / semaine")</f>
        <v/>
      </c>
      <c r="C51" s="26" t="str">
        <f>IF(OR($A51="",1&gt;Paramètres!$B$9),"",SUMIF(Calculs!$C$8:$C$247,$A51,Calculs!$X$8:$X$247))</f>
        <v/>
      </c>
      <c r="D51" s="26" t="str">
        <f>IF(OR($A51="",2&gt;Paramètres!$B$9),"",SUMIF(Calculs!$C$8:$C$247,$A51,Calculs!$Y$8:$Y$247))</f>
        <v/>
      </c>
      <c r="E51" s="26" t="str">
        <f>IF(OR($A51="",3&gt;Paramètres!$B$9),"",SUMIF(Calculs!$C$8:$C$247,$A51,Calculs!$Z$8:$Z$247))</f>
        <v/>
      </c>
      <c r="F51" s="26" t="str">
        <f>IF(OR($A51="",4&gt;Paramètres!$B$9),"",SUMIF(Calculs!$C$8:$C$247,$A51,Calculs!$AA$8:$AA$247))</f>
        <v/>
      </c>
      <c r="G51" s="26" t="str">
        <f>IF(OR($A51="",5&gt;Paramètres!$B$9),"",SUMIF(Calculs!$C$8:$C$247,$A51,Calculs!$AB$8:$AB$247))</f>
        <v/>
      </c>
      <c r="H51" s="26" t="str">
        <f>IF(OR($A51="",6&gt;Paramètres!$B$9),"",SUMIF(Calculs!$C$8:$C$247,$A51,Calculs!$AC$8:$AC$247))</f>
        <v/>
      </c>
      <c r="I51" s="26" t="str">
        <f>IF(OR($A51="",7&gt;Paramètres!$B$9),"",SUMIF(Calculs!$C$8:$C$247,$A51,Calculs!$AD$8:$AD$247))</f>
        <v/>
      </c>
      <c r="J51" s="26" t="str">
        <f>IF(OR($A51="",8&gt;Paramètres!$B$9),"",SUMIF(Calculs!$C$8:$C$247,$A51,Calculs!$AE$8:$AE$247))</f>
        <v/>
      </c>
      <c r="K51" s="26" t="str">
        <f>IF(OR($A51="",9&gt;Paramètres!$B$9),"",SUMIF(Calculs!$C$8:$C$247,$A51,Calculs!$AF$8:$AF$247))</f>
        <v/>
      </c>
      <c r="L51" s="26" t="str">
        <f>IF(OR($A51="",10&gt;Paramètres!$B$9),"",SUMIF(Calculs!$C$8:$C$247,$A51,Calculs!$AG$8:$AG$247))</f>
        <v/>
      </c>
      <c r="M51" s="26" t="str">
        <f>IF(OR($A51="",11&gt;Paramètres!$B$9),"",SUMIF(Calculs!$C$8:$C$247,$A51,Calculs!$AH$8:$AH$247))</f>
        <v/>
      </c>
      <c r="N51" s="26" t="str">
        <f>IF(OR($A51="",12&gt;Paramètres!$B$9),"",SUMIF(Calculs!$C$8:$C$247,$A51,Calculs!$AI$8:$AI$247))</f>
        <v/>
      </c>
      <c r="O51" s="26" t="str">
        <f>IF(OR($A51="",13&gt;Paramètres!$B$9),"",SUMIF(Calculs!$C$8:$C$247,$A51,Calculs!$AJ$8:$AJ$247))</f>
        <v/>
      </c>
    </row>
    <row r="52" ht="28" customHeight="1">
      <c r="A52" s="25" t="str">
        <f>IF(Paramètres!F27="","",Paramètres!F27)</f>
        <v/>
      </c>
      <c r="B52" s="25" t="str">
        <f>IF(A52="","","jours / semaine")</f>
        <v/>
      </c>
      <c r="C52" s="24" t="str">
        <f>IF(OR($A52="",1&gt;Paramètres!$B$9),"",SUMIF(Calculs!$C$8:$C$247,$A52,Calculs!$X$8:$X$247))</f>
        <v/>
      </c>
      <c r="D52" s="24" t="str">
        <f>IF(OR($A52="",2&gt;Paramètres!$B$9),"",SUMIF(Calculs!$C$8:$C$247,$A52,Calculs!$Y$8:$Y$247))</f>
        <v/>
      </c>
      <c r="E52" s="24" t="str">
        <f>IF(OR($A52="",3&gt;Paramètres!$B$9),"",SUMIF(Calculs!$C$8:$C$247,$A52,Calculs!$Z$8:$Z$247))</f>
        <v/>
      </c>
      <c r="F52" s="24" t="str">
        <f>IF(OR($A52="",4&gt;Paramètres!$B$9),"",SUMIF(Calculs!$C$8:$C$247,$A52,Calculs!$AA$8:$AA$247))</f>
        <v/>
      </c>
      <c r="G52" s="24" t="str">
        <f>IF(OR($A52="",5&gt;Paramètres!$B$9),"",SUMIF(Calculs!$C$8:$C$247,$A52,Calculs!$AB$8:$AB$247))</f>
        <v/>
      </c>
      <c r="H52" s="24" t="str">
        <f>IF(OR($A52="",6&gt;Paramètres!$B$9),"",SUMIF(Calculs!$C$8:$C$247,$A52,Calculs!$AC$8:$AC$247))</f>
        <v/>
      </c>
      <c r="I52" s="24" t="str">
        <f>IF(OR($A52="",7&gt;Paramètres!$B$9),"",SUMIF(Calculs!$C$8:$C$247,$A52,Calculs!$AD$8:$AD$247))</f>
        <v/>
      </c>
      <c r="J52" s="24" t="str">
        <f>IF(OR($A52="",8&gt;Paramètres!$B$9),"",SUMIF(Calculs!$C$8:$C$247,$A52,Calculs!$AE$8:$AE$247))</f>
        <v/>
      </c>
      <c r="K52" s="24" t="str">
        <f>IF(OR($A52="",9&gt;Paramètres!$B$9),"",SUMIF(Calculs!$C$8:$C$247,$A52,Calculs!$AF$8:$AF$247))</f>
        <v/>
      </c>
      <c r="L52" s="24" t="str">
        <f>IF(OR($A52="",10&gt;Paramètres!$B$9),"",SUMIF(Calculs!$C$8:$C$247,$A52,Calculs!$AG$8:$AG$247))</f>
        <v/>
      </c>
      <c r="M52" s="24" t="str">
        <f>IF(OR($A52="",11&gt;Paramètres!$B$9),"",SUMIF(Calculs!$C$8:$C$247,$A52,Calculs!$AH$8:$AH$247))</f>
        <v/>
      </c>
      <c r="N52" s="24" t="str">
        <f>IF(OR($A52="",12&gt;Paramètres!$B$9),"",SUMIF(Calculs!$C$8:$C$247,$A52,Calculs!$AI$8:$AI$247))</f>
        <v/>
      </c>
      <c r="O52" s="24" t="str">
        <f>IF(OR($A52="",13&gt;Paramètres!$B$9),"",SUMIF(Calculs!$C$8:$C$247,$A52,Calculs!$AJ$8:$AJ$247))</f>
        <v/>
      </c>
    </row>
    <row r="57" ht="28" customHeight="1">
      <c r="A57" s="23" t="inlineStr">
        <is>
          <t>MARGE (capacité − charge)</t>
        </is>
      </c>
      <c r="B57" s="23" t="inlineStr">
        <is>
          <t>Nom / équipe</t>
        </is>
      </c>
      <c r="C57" s="29" t="n">
        <f>IFERROR(IF(1&lt;=Paramètres!$B$9,Paramètres!$B$8+0,""),"")</f>
        <v>46300</v>
      </c>
      <c r="D57" s="29" t="n">
        <f>IFERROR(IF(2&lt;=Paramètres!$B$9,Paramètres!$B$8+7,""),"")</f>
        <v>46307</v>
      </c>
      <c r="E57" s="29" t="n">
        <f>IFERROR(IF(3&lt;=Paramètres!$B$9,Paramètres!$B$8+14,""),"")</f>
        <v>46314</v>
      </c>
      <c r="F57" s="29" t="n">
        <f>IFERROR(IF(4&lt;=Paramètres!$B$9,Paramètres!$B$8+21,""),"")</f>
        <v>46321</v>
      </c>
      <c r="G57" s="29" t="n">
        <f>IFERROR(IF(5&lt;=Paramètres!$B$9,Paramètres!$B$8+28,""),"")</f>
        <v>46328</v>
      </c>
      <c r="H57" s="29" t="n">
        <f>IFERROR(IF(6&lt;=Paramètres!$B$9,Paramètres!$B$8+35,""),"")</f>
        <v>46335</v>
      </c>
      <c r="I57" s="29" t="n">
        <f>IFERROR(IF(7&lt;=Paramètres!$B$9,Paramètres!$B$8+42,""),"")</f>
        <v>46342</v>
      </c>
      <c r="J57" s="29" t="n">
        <f>IFERROR(IF(8&lt;=Paramètres!$B$9,Paramètres!$B$8+49,""),"")</f>
        <v>46349</v>
      </c>
      <c r="K57" s="29" t="n">
        <f>IFERROR(IF(9&lt;=Paramètres!$B$9,Paramètres!$B$8+56,""),"")</f>
        <v>46356</v>
      </c>
      <c r="L57" s="29" t="n">
        <f>IFERROR(IF(10&lt;=Paramètres!$B$9,Paramètres!$B$8+63,""),"")</f>
        <v>46363</v>
      </c>
      <c r="M57" s="29" t="n">
        <f>IFERROR(IF(11&lt;=Paramètres!$B$9,Paramètres!$B$8+70,""),"")</f>
        <v>46370</v>
      </c>
      <c r="N57" s="29" t="n">
        <f>IFERROR(IF(12&lt;=Paramètres!$B$9,Paramètres!$B$8+77,""),"")</f>
        <v>46377</v>
      </c>
      <c r="O57" s="29" t="n">
        <f>IFERROR(IF(13&lt;=Paramètres!$B$9,Paramètres!$B$8+84,""),"")</f>
        <v>46384</v>
      </c>
    </row>
    <row r="58" ht="28" customHeight="1">
      <c r="A58" s="25" t="str">
        <f>IF(Paramètres!F8="","",Paramètres!F8)</f>
        <v/>
      </c>
      <c r="B58" s="25" t="str">
        <f>IF(A58="","","jours / semaine")</f>
        <v/>
      </c>
      <c r="C58" s="24" t="str">
        <f>IF(OR($A58="",1&gt;Paramètres!$B$9),"",C8-C33)</f>
        <v/>
      </c>
      <c r="D58" s="24" t="str">
        <f>IF(OR($A58="",2&gt;Paramètres!$B$9),"",D8-D33)</f>
        <v/>
      </c>
      <c r="E58" s="24" t="str">
        <f>IF(OR($A58="",3&gt;Paramètres!$B$9),"",E8-E33)</f>
        <v/>
      </c>
      <c r="F58" s="24" t="str">
        <f>IF(OR($A58="",4&gt;Paramètres!$B$9),"",F8-F33)</f>
        <v/>
      </c>
      <c r="G58" s="24" t="str">
        <f>IF(OR($A58="",5&gt;Paramètres!$B$9),"",G8-G33)</f>
        <v/>
      </c>
      <c r="H58" s="24" t="str">
        <f>IF(OR($A58="",6&gt;Paramètres!$B$9),"",H8-H33)</f>
        <v/>
      </c>
      <c r="I58" s="24" t="str">
        <f>IF(OR($A58="",7&gt;Paramètres!$B$9),"",I8-I33)</f>
        <v/>
      </c>
      <c r="J58" s="24" t="str">
        <f>IF(OR($A58="",8&gt;Paramètres!$B$9),"",J8-J33)</f>
        <v/>
      </c>
      <c r="K58" s="24" t="str">
        <f>IF(OR($A58="",9&gt;Paramètres!$B$9),"",K8-K33)</f>
        <v/>
      </c>
      <c r="L58" s="24" t="str">
        <f>IF(OR($A58="",10&gt;Paramètres!$B$9),"",L8-L33)</f>
        <v/>
      </c>
      <c r="M58" s="24" t="str">
        <f>IF(OR($A58="",11&gt;Paramètres!$B$9),"",M8-M33)</f>
        <v/>
      </c>
      <c r="N58" s="24" t="str">
        <f>IF(OR($A58="",12&gt;Paramètres!$B$9),"",N8-N33)</f>
        <v/>
      </c>
      <c r="O58" s="24" t="str">
        <f>IF(OR($A58="",13&gt;Paramètres!$B$9),"",O8-O33)</f>
        <v/>
      </c>
    </row>
    <row r="59" ht="28" customHeight="1">
      <c r="A59" s="27" t="str">
        <f>IF(Paramètres!F9="","",Paramètres!F9)</f>
        <v/>
      </c>
      <c r="B59" s="27" t="str">
        <f>IF(A59="","","jours / semaine")</f>
        <v/>
      </c>
      <c r="C59" s="26" t="str">
        <f>IF(OR($A59="",1&gt;Paramètres!$B$9),"",C9-C34)</f>
        <v/>
      </c>
      <c r="D59" s="26" t="str">
        <f>IF(OR($A59="",2&gt;Paramètres!$B$9),"",D9-D34)</f>
        <v/>
      </c>
      <c r="E59" s="26" t="str">
        <f>IF(OR($A59="",3&gt;Paramètres!$B$9),"",E9-E34)</f>
        <v/>
      </c>
      <c r="F59" s="26" t="str">
        <f>IF(OR($A59="",4&gt;Paramètres!$B$9),"",F9-F34)</f>
        <v/>
      </c>
      <c r="G59" s="26" t="str">
        <f>IF(OR($A59="",5&gt;Paramètres!$B$9),"",G9-G34)</f>
        <v/>
      </c>
      <c r="H59" s="26" t="str">
        <f>IF(OR($A59="",6&gt;Paramètres!$B$9),"",H9-H34)</f>
        <v/>
      </c>
      <c r="I59" s="26" t="str">
        <f>IF(OR($A59="",7&gt;Paramètres!$B$9),"",I9-I34)</f>
        <v/>
      </c>
      <c r="J59" s="26" t="str">
        <f>IF(OR($A59="",8&gt;Paramètres!$B$9),"",J9-J34)</f>
        <v/>
      </c>
      <c r="K59" s="26" t="str">
        <f>IF(OR($A59="",9&gt;Paramètres!$B$9),"",K9-K34)</f>
        <v/>
      </c>
      <c r="L59" s="26" t="str">
        <f>IF(OR($A59="",10&gt;Paramètres!$B$9),"",L9-L34)</f>
        <v/>
      </c>
      <c r="M59" s="26" t="str">
        <f>IF(OR($A59="",11&gt;Paramètres!$B$9),"",M9-M34)</f>
        <v/>
      </c>
      <c r="N59" s="26" t="str">
        <f>IF(OR($A59="",12&gt;Paramètres!$B$9),"",N9-N34)</f>
        <v/>
      </c>
      <c r="O59" s="26" t="str">
        <f>IF(OR($A59="",13&gt;Paramètres!$B$9),"",O9-O34)</f>
        <v/>
      </c>
    </row>
    <row r="60" ht="28" customHeight="1">
      <c r="A60" s="25" t="str">
        <f>IF(Paramètres!F10="","",Paramètres!F10)</f>
        <v/>
      </c>
      <c r="B60" s="25" t="str">
        <f>IF(A60="","","jours / semaine")</f>
        <v/>
      </c>
      <c r="C60" s="24" t="str">
        <f>IF(OR($A60="",1&gt;Paramètres!$B$9),"",C10-C35)</f>
        <v/>
      </c>
      <c r="D60" s="24" t="str">
        <f>IF(OR($A60="",2&gt;Paramètres!$B$9),"",D10-D35)</f>
        <v/>
      </c>
      <c r="E60" s="24" t="str">
        <f>IF(OR($A60="",3&gt;Paramètres!$B$9),"",E10-E35)</f>
        <v/>
      </c>
      <c r="F60" s="24" t="str">
        <f>IF(OR($A60="",4&gt;Paramètres!$B$9),"",F10-F35)</f>
        <v/>
      </c>
      <c r="G60" s="24" t="str">
        <f>IF(OR($A60="",5&gt;Paramètres!$B$9),"",G10-G35)</f>
        <v/>
      </c>
      <c r="H60" s="24" t="str">
        <f>IF(OR($A60="",6&gt;Paramètres!$B$9),"",H10-H35)</f>
        <v/>
      </c>
      <c r="I60" s="24" t="str">
        <f>IF(OR($A60="",7&gt;Paramètres!$B$9),"",I10-I35)</f>
        <v/>
      </c>
      <c r="J60" s="24" t="str">
        <f>IF(OR($A60="",8&gt;Paramètres!$B$9),"",J10-J35)</f>
        <v/>
      </c>
      <c r="K60" s="24" t="str">
        <f>IF(OR($A60="",9&gt;Paramètres!$B$9),"",K10-K35)</f>
        <v/>
      </c>
      <c r="L60" s="24" t="str">
        <f>IF(OR($A60="",10&gt;Paramètres!$B$9),"",L10-L35)</f>
        <v/>
      </c>
      <c r="M60" s="24" t="str">
        <f>IF(OR($A60="",11&gt;Paramètres!$B$9),"",M10-M35)</f>
        <v/>
      </c>
      <c r="N60" s="24" t="str">
        <f>IF(OR($A60="",12&gt;Paramètres!$B$9),"",N10-N35)</f>
        <v/>
      </c>
      <c r="O60" s="24" t="str">
        <f>IF(OR($A60="",13&gt;Paramètres!$B$9),"",O10-O35)</f>
        <v/>
      </c>
    </row>
    <row r="61" ht="28" customHeight="1">
      <c r="A61" s="27" t="str">
        <f>IF(Paramètres!F11="","",Paramètres!F11)</f>
        <v/>
      </c>
      <c r="B61" s="27" t="str">
        <f>IF(A61="","","jours / semaine")</f>
        <v/>
      </c>
      <c r="C61" s="26" t="str">
        <f>IF(OR($A61="",1&gt;Paramètres!$B$9),"",C11-C36)</f>
        <v/>
      </c>
      <c r="D61" s="26" t="str">
        <f>IF(OR($A61="",2&gt;Paramètres!$B$9),"",D11-D36)</f>
        <v/>
      </c>
      <c r="E61" s="26" t="str">
        <f>IF(OR($A61="",3&gt;Paramètres!$B$9),"",E11-E36)</f>
        <v/>
      </c>
      <c r="F61" s="26" t="str">
        <f>IF(OR($A61="",4&gt;Paramètres!$B$9),"",F11-F36)</f>
        <v/>
      </c>
      <c r="G61" s="26" t="str">
        <f>IF(OR($A61="",5&gt;Paramètres!$B$9),"",G11-G36)</f>
        <v/>
      </c>
      <c r="H61" s="26" t="str">
        <f>IF(OR($A61="",6&gt;Paramètres!$B$9),"",H11-H36)</f>
        <v/>
      </c>
      <c r="I61" s="26" t="str">
        <f>IF(OR($A61="",7&gt;Paramètres!$B$9),"",I11-I36)</f>
        <v/>
      </c>
      <c r="J61" s="26" t="str">
        <f>IF(OR($A61="",8&gt;Paramètres!$B$9),"",J11-J36)</f>
        <v/>
      </c>
      <c r="K61" s="26" t="str">
        <f>IF(OR($A61="",9&gt;Paramètres!$B$9),"",K11-K36)</f>
        <v/>
      </c>
      <c r="L61" s="26" t="str">
        <f>IF(OR($A61="",10&gt;Paramètres!$B$9),"",L11-L36)</f>
        <v/>
      </c>
      <c r="M61" s="26" t="str">
        <f>IF(OR($A61="",11&gt;Paramètres!$B$9),"",M11-M36)</f>
        <v/>
      </c>
      <c r="N61" s="26" t="str">
        <f>IF(OR($A61="",12&gt;Paramètres!$B$9),"",N11-N36)</f>
        <v/>
      </c>
      <c r="O61" s="26" t="str">
        <f>IF(OR($A61="",13&gt;Paramètres!$B$9),"",O11-O36)</f>
        <v/>
      </c>
    </row>
    <row r="62" ht="28" customHeight="1">
      <c r="A62" s="25" t="str">
        <f>IF(Paramètres!F12="","",Paramètres!F12)</f>
        <v/>
      </c>
      <c r="B62" s="25" t="str">
        <f>IF(A62="","","jours / semaine")</f>
        <v/>
      </c>
      <c r="C62" s="24" t="str">
        <f>IF(OR($A62="",1&gt;Paramètres!$B$9),"",C12-C37)</f>
        <v/>
      </c>
      <c r="D62" s="24" t="str">
        <f>IF(OR($A62="",2&gt;Paramètres!$B$9),"",D12-D37)</f>
        <v/>
      </c>
      <c r="E62" s="24" t="str">
        <f>IF(OR($A62="",3&gt;Paramètres!$B$9),"",E12-E37)</f>
        <v/>
      </c>
      <c r="F62" s="24" t="str">
        <f>IF(OR($A62="",4&gt;Paramètres!$B$9),"",F12-F37)</f>
        <v/>
      </c>
      <c r="G62" s="24" t="str">
        <f>IF(OR($A62="",5&gt;Paramètres!$B$9),"",G12-G37)</f>
        <v/>
      </c>
      <c r="H62" s="24" t="str">
        <f>IF(OR($A62="",6&gt;Paramètres!$B$9),"",H12-H37)</f>
        <v/>
      </c>
      <c r="I62" s="24" t="str">
        <f>IF(OR($A62="",7&gt;Paramètres!$B$9),"",I12-I37)</f>
        <v/>
      </c>
      <c r="J62" s="24" t="str">
        <f>IF(OR($A62="",8&gt;Paramètres!$B$9),"",J12-J37)</f>
        <v/>
      </c>
      <c r="K62" s="24" t="str">
        <f>IF(OR($A62="",9&gt;Paramètres!$B$9),"",K12-K37)</f>
        <v/>
      </c>
      <c r="L62" s="24" t="str">
        <f>IF(OR($A62="",10&gt;Paramètres!$B$9),"",L12-L37)</f>
        <v/>
      </c>
      <c r="M62" s="24" t="str">
        <f>IF(OR($A62="",11&gt;Paramètres!$B$9),"",M12-M37)</f>
        <v/>
      </c>
      <c r="N62" s="24" t="str">
        <f>IF(OR($A62="",12&gt;Paramètres!$B$9),"",N12-N37)</f>
        <v/>
      </c>
      <c r="O62" s="24" t="str">
        <f>IF(OR($A62="",13&gt;Paramètres!$B$9),"",O12-O37)</f>
        <v/>
      </c>
    </row>
    <row r="63" ht="28" customHeight="1">
      <c r="A63" s="27" t="str">
        <f>IF(Paramètres!F13="","",Paramètres!F13)</f>
        <v/>
      </c>
      <c r="B63" s="27" t="str">
        <f>IF(A63="","","jours / semaine")</f>
        <v/>
      </c>
      <c r="C63" s="26" t="str">
        <f>IF(OR($A63="",1&gt;Paramètres!$B$9),"",C13-C38)</f>
        <v/>
      </c>
      <c r="D63" s="26" t="str">
        <f>IF(OR($A63="",2&gt;Paramètres!$B$9),"",D13-D38)</f>
        <v/>
      </c>
      <c r="E63" s="26" t="str">
        <f>IF(OR($A63="",3&gt;Paramètres!$B$9),"",E13-E38)</f>
        <v/>
      </c>
      <c r="F63" s="26" t="str">
        <f>IF(OR($A63="",4&gt;Paramètres!$B$9),"",F13-F38)</f>
        <v/>
      </c>
      <c r="G63" s="26" t="str">
        <f>IF(OR($A63="",5&gt;Paramètres!$B$9),"",G13-G38)</f>
        <v/>
      </c>
      <c r="H63" s="26" t="str">
        <f>IF(OR($A63="",6&gt;Paramètres!$B$9),"",H13-H38)</f>
        <v/>
      </c>
      <c r="I63" s="26" t="str">
        <f>IF(OR($A63="",7&gt;Paramètres!$B$9),"",I13-I38)</f>
        <v/>
      </c>
      <c r="J63" s="26" t="str">
        <f>IF(OR($A63="",8&gt;Paramètres!$B$9),"",J13-J38)</f>
        <v/>
      </c>
      <c r="K63" s="26" t="str">
        <f>IF(OR($A63="",9&gt;Paramètres!$B$9),"",K13-K38)</f>
        <v/>
      </c>
      <c r="L63" s="26" t="str">
        <f>IF(OR($A63="",10&gt;Paramètres!$B$9),"",L13-L38)</f>
        <v/>
      </c>
      <c r="M63" s="26" t="str">
        <f>IF(OR($A63="",11&gt;Paramètres!$B$9),"",M13-M38)</f>
        <v/>
      </c>
      <c r="N63" s="26" t="str">
        <f>IF(OR($A63="",12&gt;Paramètres!$B$9),"",N13-N38)</f>
        <v/>
      </c>
      <c r="O63" s="26" t="str">
        <f>IF(OR($A63="",13&gt;Paramètres!$B$9),"",O13-O38)</f>
        <v/>
      </c>
    </row>
    <row r="64" ht="28" customHeight="1">
      <c r="A64" s="25" t="str">
        <f>IF(Paramètres!F14="","",Paramètres!F14)</f>
        <v/>
      </c>
      <c r="B64" s="25" t="str">
        <f>IF(A64="","","jours / semaine")</f>
        <v/>
      </c>
      <c r="C64" s="24" t="str">
        <f>IF(OR($A64="",1&gt;Paramètres!$B$9),"",C14-C39)</f>
        <v/>
      </c>
      <c r="D64" s="24" t="str">
        <f>IF(OR($A64="",2&gt;Paramètres!$B$9),"",D14-D39)</f>
        <v/>
      </c>
      <c r="E64" s="24" t="str">
        <f>IF(OR($A64="",3&gt;Paramètres!$B$9),"",E14-E39)</f>
        <v/>
      </c>
      <c r="F64" s="24" t="str">
        <f>IF(OR($A64="",4&gt;Paramètres!$B$9),"",F14-F39)</f>
        <v/>
      </c>
      <c r="G64" s="24" t="str">
        <f>IF(OR($A64="",5&gt;Paramètres!$B$9),"",G14-G39)</f>
        <v/>
      </c>
      <c r="H64" s="24" t="str">
        <f>IF(OR($A64="",6&gt;Paramètres!$B$9),"",H14-H39)</f>
        <v/>
      </c>
      <c r="I64" s="24" t="str">
        <f>IF(OR($A64="",7&gt;Paramètres!$B$9),"",I14-I39)</f>
        <v/>
      </c>
      <c r="J64" s="24" t="str">
        <f>IF(OR($A64="",8&gt;Paramètres!$B$9),"",J14-J39)</f>
        <v/>
      </c>
      <c r="K64" s="24" t="str">
        <f>IF(OR($A64="",9&gt;Paramètres!$B$9),"",K14-K39)</f>
        <v/>
      </c>
      <c r="L64" s="24" t="str">
        <f>IF(OR($A64="",10&gt;Paramètres!$B$9),"",L14-L39)</f>
        <v/>
      </c>
      <c r="M64" s="24" t="str">
        <f>IF(OR($A64="",11&gt;Paramètres!$B$9),"",M14-M39)</f>
        <v/>
      </c>
      <c r="N64" s="24" t="str">
        <f>IF(OR($A64="",12&gt;Paramètres!$B$9),"",N14-N39)</f>
        <v/>
      </c>
      <c r="O64" s="24" t="str">
        <f>IF(OR($A64="",13&gt;Paramètres!$B$9),"",O14-O39)</f>
        <v/>
      </c>
    </row>
    <row r="65" ht="28" customHeight="1">
      <c r="A65" s="27" t="str">
        <f>IF(Paramètres!F15="","",Paramètres!F15)</f>
        <v/>
      </c>
      <c r="B65" s="27" t="str">
        <f>IF(A65="","","jours / semaine")</f>
        <v/>
      </c>
      <c r="C65" s="26" t="str">
        <f>IF(OR($A65="",1&gt;Paramètres!$B$9),"",C15-C40)</f>
        <v/>
      </c>
      <c r="D65" s="26" t="str">
        <f>IF(OR($A65="",2&gt;Paramètres!$B$9),"",D15-D40)</f>
        <v/>
      </c>
      <c r="E65" s="26" t="str">
        <f>IF(OR($A65="",3&gt;Paramètres!$B$9),"",E15-E40)</f>
        <v/>
      </c>
      <c r="F65" s="26" t="str">
        <f>IF(OR($A65="",4&gt;Paramètres!$B$9),"",F15-F40)</f>
        <v/>
      </c>
      <c r="G65" s="26" t="str">
        <f>IF(OR($A65="",5&gt;Paramètres!$B$9),"",G15-G40)</f>
        <v/>
      </c>
      <c r="H65" s="26" t="str">
        <f>IF(OR($A65="",6&gt;Paramètres!$B$9),"",H15-H40)</f>
        <v/>
      </c>
      <c r="I65" s="26" t="str">
        <f>IF(OR($A65="",7&gt;Paramètres!$B$9),"",I15-I40)</f>
        <v/>
      </c>
      <c r="J65" s="26" t="str">
        <f>IF(OR($A65="",8&gt;Paramètres!$B$9),"",J15-J40)</f>
        <v/>
      </c>
      <c r="K65" s="26" t="str">
        <f>IF(OR($A65="",9&gt;Paramètres!$B$9),"",K15-K40)</f>
        <v/>
      </c>
      <c r="L65" s="26" t="str">
        <f>IF(OR($A65="",10&gt;Paramètres!$B$9),"",L15-L40)</f>
        <v/>
      </c>
      <c r="M65" s="26" t="str">
        <f>IF(OR($A65="",11&gt;Paramètres!$B$9),"",M15-M40)</f>
        <v/>
      </c>
      <c r="N65" s="26" t="str">
        <f>IF(OR($A65="",12&gt;Paramètres!$B$9),"",N15-N40)</f>
        <v/>
      </c>
      <c r="O65" s="26" t="str">
        <f>IF(OR($A65="",13&gt;Paramètres!$B$9),"",O15-O40)</f>
        <v/>
      </c>
    </row>
    <row r="66" ht="28" customHeight="1">
      <c r="A66" s="25" t="str">
        <f>IF(Paramètres!F16="","",Paramètres!F16)</f>
        <v/>
      </c>
      <c r="B66" s="25" t="str">
        <f>IF(A66="","","jours / semaine")</f>
        <v/>
      </c>
      <c r="C66" s="24" t="str">
        <f>IF(OR($A66="",1&gt;Paramètres!$B$9),"",C16-C41)</f>
        <v/>
      </c>
      <c r="D66" s="24" t="str">
        <f>IF(OR($A66="",2&gt;Paramètres!$B$9),"",D16-D41)</f>
        <v/>
      </c>
      <c r="E66" s="24" t="str">
        <f>IF(OR($A66="",3&gt;Paramètres!$B$9),"",E16-E41)</f>
        <v/>
      </c>
      <c r="F66" s="24" t="str">
        <f>IF(OR($A66="",4&gt;Paramètres!$B$9),"",F16-F41)</f>
        <v/>
      </c>
      <c r="G66" s="24" t="str">
        <f>IF(OR($A66="",5&gt;Paramètres!$B$9),"",G16-G41)</f>
        <v/>
      </c>
      <c r="H66" s="24" t="str">
        <f>IF(OR($A66="",6&gt;Paramètres!$B$9),"",H16-H41)</f>
        <v/>
      </c>
      <c r="I66" s="24" t="str">
        <f>IF(OR($A66="",7&gt;Paramètres!$B$9),"",I16-I41)</f>
        <v/>
      </c>
      <c r="J66" s="24" t="str">
        <f>IF(OR($A66="",8&gt;Paramètres!$B$9),"",J16-J41)</f>
        <v/>
      </c>
      <c r="K66" s="24" t="str">
        <f>IF(OR($A66="",9&gt;Paramètres!$B$9),"",K16-K41)</f>
        <v/>
      </c>
      <c r="L66" s="24" t="str">
        <f>IF(OR($A66="",10&gt;Paramètres!$B$9),"",L16-L41)</f>
        <v/>
      </c>
      <c r="M66" s="24" t="str">
        <f>IF(OR($A66="",11&gt;Paramètres!$B$9),"",M16-M41)</f>
        <v/>
      </c>
      <c r="N66" s="24" t="str">
        <f>IF(OR($A66="",12&gt;Paramètres!$B$9),"",N16-N41)</f>
        <v/>
      </c>
      <c r="O66" s="24" t="str">
        <f>IF(OR($A66="",13&gt;Paramètres!$B$9),"",O16-O41)</f>
        <v/>
      </c>
    </row>
    <row r="67" ht="28" customHeight="1">
      <c r="A67" s="27" t="str">
        <f>IF(Paramètres!F17="","",Paramètres!F17)</f>
        <v/>
      </c>
      <c r="B67" s="27" t="str">
        <f>IF(A67="","","jours / semaine")</f>
        <v/>
      </c>
      <c r="C67" s="26" t="str">
        <f>IF(OR($A67="",1&gt;Paramètres!$B$9),"",C17-C42)</f>
        <v/>
      </c>
      <c r="D67" s="26" t="str">
        <f>IF(OR($A67="",2&gt;Paramètres!$B$9),"",D17-D42)</f>
        <v/>
      </c>
      <c r="E67" s="26" t="str">
        <f>IF(OR($A67="",3&gt;Paramètres!$B$9),"",E17-E42)</f>
        <v/>
      </c>
      <c r="F67" s="26" t="str">
        <f>IF(OR($A67="",4&gt;Paramètres!$B$9),"",F17-F42)</f>
        <v/>
      </c>
      <c r="G67" s="26" t="str">
        <f>IF(OR($A67="",5&gt;Paramètres!$B$9),"",G17-G42)</f>
        <v/>
      </c>
      <c r="H67" s="26" t="str">
        <f>IF(OR($A67="",6&gt;Paramètres!$B$9),"",H17-H42)</f>
        <v/>
      </c>
      <c r="I67" s="26" t="str">
        <f>IF(OR($A67="",7&gt;Paramètres!$B$9),"",I17-I42)</f>
        <v/>
      </c>
      <c r="J67" s="26" t="str">
        <f>IF(OR($A67="",8&gt;Paramètres!$B$9),"",J17-J42)</f>
        <v/>
      </c>
      <c r="K67" s="26" t="str">
        <f>IF(OR($A67="",9&gt;Paramètres!$B$9),"",K17-K42)</f>
        <v/>
      </c>
      <c r="L67" s="26" t="str">
        <f>IF(OR($A67="",10&gt;Paramètres!$B$9),"",L17-L42)</f>
        <v/>
      </c>
      <c r="M67" s="26" t="str">
        <f>IF(OR($A67="",11&gt;Paramètres!$B$9),"",M17-M42)</f>
        <v/>
      </c>
      <c r="N67" s="26" t="str">
        <f>IF(OR($A67="",12&gt;Paramètres!$B$9),"",N17-N42)</f>
        <v/>
      </c>
      <c r="O67" s="26" t="str">
        <f>IF(OR($A67="",13&gt;Paramètres!$B$9),"",O17-O42)</f>
        <v/>
      </c>
    </row>
    <row r="68" ht="28" customHeight="1">
      <c r="A68" s="25" t="str">
        <f>IF(Paramètres!F18="","",Paramètres!F18)</f>
        <v/>
      </c>
      <c r="B68" s="25" t="str">
        <f>IF(A68="","","jours / semaine")</f>
        <v/>
      </c>
      <c r="C68" s="24" t="str">
        <f>IF(OR($A68="",1&gt;Paramètres!$B$9),"",C18-C43)</f>
        <v/>
      </c>
      <c r="D68" s="24" t="str">
        <f>IF(OR($A68="",2&gt;Paramètres!$B$9),"",D18-D43)</f>
        <v/>
      </c>
      <c r="E68" s="24" t="str">
        <f>IF(OR($A68="",3&gt;Paramètres!$B$9),"",E18-E43)</f>
        <v/>
      </c>
      <c r="F68" s="24" t="str">
        <f>IF(OR($A68="",4&gt;Paramètres!$B$9),"",F18-F43)</f>
        <v/>
      </c>
      <c r="G68" s="24" t="str">
        <f>IF(OR($A68="",5&gt;Paramètres!$B$9),"",G18-G43)</f>
        <v/>
      </c>
      <c r="H68" s="24" t="str">
        <f>IF(OR($A68="",6&gt;Paramètres!$B$9),"",H18-H43)</f>
        <v/>
      </c>
      <c r="I68" s="24" t="str">
        <f>IF(OR($A68="",7&gt;Paramètres!$B$9),"",I18-I43)</f>
        <v/>
      </c>
      <c r="J68" s="24" t="str">
        <f>IF(OR($A68="",8&gt;Paramètres!$B$9),"",J18-J43)</f>
        <v/>
      </c>
      <c r="K68" s="24" t="str">
        <f>IF(OR($A68="",9&gt;Paramètres!$B$9),"",K18-K43)</f>
        <v/>
      </c>
      <c r="L68" s="24" t="str">
        <f>IF(OR($A68="",10&gt;Paramètres!$B$9),"",L18-L43)</f>
        <v/>
      </c>
      <c r="M68" s="24" t="str">
        <f>IF(OR($A68="",11&gt;Paramètres!$B$9),"",M18-M43)</f>
        <v/>
      </c>
      <c r="N68" s="24" t="str">
        <f>IF(OR($A68="",12&gt;Paramètres!$B$9),"",N18-N43)</f>
        <v/>
      </c>
      <c r="O68" s="24" t="str">
        <f>IF(OR($A68="",13&gt;Paramètres!$B$9),"",O18-O43)</f>
        <v/>
      </c>
    </row>
    <row r="69" ht="28" customHeight="1">
      <c r="A69" s="27" t="str">
        <f>IF(Paramètres!F19="","",Paramètres!F19)</f>
        <v/>
      </c>
      <c r="B69" s="27" t="str">
        <f>IF(A69="","","jours / semaine")</f>
        <v/>
      </c>
      <c r="C69" s="26" t="str">
        <f>IF(OR($A69="",1&gt;Paramètres!$B$9),"",C19-C44)</f>
        <v/>
      </c>
      <c r="D69" s="26" t="str">
        <f>IF(OR($A69="",2&gt;Paramètres!$B$9),"",D19-D44)</f>
        <v/>
      </c>
      <c r="E69" s="26" t="str">
        <f>IF(OR($A69="",3&gt;Paramètres!$B$9),"",E19-E44)</f>
        <v/>
      </c>
      <c r="F69" s="26" t="str">
        <f>IF(OR($A69="",4&gt;Paramètres!$B$9),"",F19-F44)</f>
        <v/>
      </c>
      <c r="G69" s="26" t="str">
        <f>IF(OR($A69="",5&gt;Paramètres!$B$9),"",G19-G44)</f>
        <v/>
      </c>
      <c r="H69" s="26" t="str">
        <f>IF(OR($A69="",6&gt;Paramètres!$B$9),"",H19-H44)</f>
        <v/>
      </c>
      <c r="I69" s="26" t="str">
        <f>IF(OR($A69="",7&gt;Paramètres!$B$9),"",I19-I44)</f>
        <v/>
      </c>
      <c r="J69" s="26" t="str">
        <f>IF(OR($A69="",8&gt;Paramètres!$B$9),"",J19-J44)</f>
        <v/>
      </c>
      <c r="K69" s="26" t="str">
        <f>IF(OR($A69="",9&gt;Paramètres!$B$9),"",K19-K44)</f>
        <v/>
      </c>
      <c r="L69" s="26" t="str">
        <f>IF(OR($A69="",10&gt;Paramètres!$B$9),"",L19-L44)</f>
        <v/>
      </c>
      <c r="M69" s="26" t="str">
        <f>IF(OR($A69="",11&gt;Paramètres!$B$9),"",M19-M44)</f>
        <v/>
      </c>
      <c r="N69" s="26" t="str">
        <f>IF(OR($A69="",12&gt;Paramètres!$B$9),"",N19-N44)</f>
        <v/>
      </c>
      <c r="O69" s="26" t="str">
        <f>IF(OR($A69="",13&gt;Paramètres!$B$9),"",O19-O44)</f>
        <v/>
      </c>
    </row>
    <row r="70" ht="28" customHeight="1">
      <c r="A70" s="25" t="str">
        <f>IF(Paramètres!F20="","",Paramètres!F20)</f>
        <v/>
      </c>
      <c r="B70" s="25" t="str">
        <f>IF(A70="","","jours / semaine")</f>
        <v/>
      </c>
      <c r="C70" s="24" t="str">
        <f>IF(OR($A70="",1&gt;Paramètres!$B$9),"",C20-C45)</f>
        <v/>
      </c>
      <c r="D70" s="24" t="str">
        <f>IF(OR($A70="",2&gt;Paramètres!$B$9),"",D20-D45)</f>
        <v/>
      </c>
      <c r="E70" s="24" t="str">
        <f>IF(OR($A70="",3&gt;Paramètres!$B$9),"",E20-E45)</f>
        <v/>
      </c>
      <c r="F70" s="24" t="str">
        <f>IF(OR($A70="",4&gt;Paramètres!$B$9),"",F20-F45)</f>
        <v/>
      </c>
      <c r="G70" s="24" t="str">
        <f>IF(OR($A70="",5&gt;Paramètres!$B$9),"",G20-G45)</f>
        <v/>
      </c>
      <c r="H70" s="24" t="str">
        <f>IF(OR($A70="",6&gt;Paramètres!$B$9),"",H20-H45)</f>
        <v/>
      </c>
      <c r="I70" s="24" t="str">
        <f>IF(OR($A70="",7&gt;Paramètres!$B$9),"",I20-I45)</f>
        <v/>
      </c>
      <c r="J70" s="24" t="str">
        <f>IF(OR($A70="",8&gt;Paramètres!$B$9),"",J20-J45)</f>
        <v/>
      </c>
      <c r="K70" s="24" t="str">
        <f>IF(OR($A70="",9&gt;Paramètres!$B$9),"",K20-K45)</f>
        <v/>
      </c>
      <c r="L70" s="24" t="str">
        <f>IF(OR($A70="",10&gt;Paramètres!$B$9),"",L20-L45)</f>
        <v/>
      </c>
      <c r="M70" s="24" t="str">
        <f>IF(OR($A70="",11&gt;Paramètres!$B$9),"",M20-M45)</f>
        <v/>
      </c>
      <c r="N70" s="24" t="str">
        <f>IF(OR($A70="",12&gt;Paramètres!$B$9),"",N20-N45)</f>
        <v/>
      </c>
      <c r="O70" s="24" t="str">
        <f>IF(OR($A70="",13&gt;Paramètres!$B$9),"",O20-O45)</f>
        <v/>
      </c>
    </row>
    <row r="71" ht="28" customHeight="1">
      <c r="A71" s="27" t="str">
        <f>IF(Paramètres!F21="","",Paramètres!F21)</f>
        <v/>
      </c>
      <c r="B71" s="27" t="str">
        <f>IF(A71="","","jours / semaine")</f>
        <v/>
      </c>
      <c r="C71" s="26" t="str">
        <f>IF(OR($A71="",1&gt;Paramètres!$B$9),"",C21-C46)</f>
        <v/>
      </c>
      <c r="D71" s="26" t="str">
        <f>IF(OR($A71="",2&gt;Paramètres!$B$9),"",D21-D46)</f>
        <v/>
      </c>
      <c r="E71" s="26" t="str">
        <f>IF(OR($A71="",3&gt;Paramètres!$B$9),"",E21-E46)</f>
        <v/>
      </c>
      <c r="F71" s="26" t="str">
        <f>IF(OR($A71="",4&gt;Paramètres!$B$9),"",F21-F46)</f>
        <v/>
      </c>
      <c r="G71" s="26" t="str">
        <f>IF(OR($A71="",5&gt;Paramètres!$B$9),"",G21-G46)</f>
        <v/>
      </c>
      <c r="H71" s="26" t="str">
        <f>IF(OR($A71="",6&gt;Paramètres!$B$9),"",H21-H46)</f>
        <v/>
      </c>
      <c r="I71" s="26" t="str">
        <f>IF(OR($A71="",7&gt;Paramètres!$B$9),"",I21-I46)</f>
        <v/>
      </c>
      <c r="J71" s="26" t="str">
        <f>IF(OR($A71="",8&gt;Paramètres!$B$9),"",J21-J46)</f>
        <v/>
      </c>
      <c r="K71" s="26" t="str">
        <f>IF(OR($A71="",9&gt;Paramètres!$B$9),"",K21-K46)</f>
        <v/>
      </c>
      <c r="L71" s="26" t="str">
        <f>IF(OR($A71="",10&gt;Paramètres!$B$9),"",L21-L46)</f>
        <v/>
      </c>
      <c r="M71" s="26" t="str">
        <f>IF(OR($A71="",11&gt;Paramètres!$B$9),"",M21-M46)</f>
        <v/>
      </c>
      <c r="N71" s="26" t="str">
        <f>IF(OR($A71="",12&gt;Paramètres!$B$9),"",N21-N46)</f>
        <v/>
      </c>
      <c r="O71" s="26" t="str">
        <f>IF(OR($A71="",13&gt;Paramètres!$B$9),"",O21-O46)</f>
        <v/>
      </c>
    </row>
    <row r="72" ht="28" customHeight="1">
      <c r="A72" s="25" t="str">
        <f>IF(Paramètres!F22="","",Paramètres!F22)</f>
        <v/>
      </c>
      <c r="B72" s="25" t="str">
        <f>IF(A72="","","jours / semaine")</f>
        <v/>
      </c>
      <c r="C72" s="24" t="str">
        <f>IF(OR($A72="",1&gt;Paramètres!$B$9),"",C22-C47)</f>
        <v/>
      </c>
      <c r="D72" s="24" t="str">
        <f>IF(OR($A72="",2&gt;Paramètres!$B$9),"",D22-D47)</f>
        <v/>
      </c>
      <c r="E72" s="24" t="str">
        <f>IF(OR($A72="",3&gt;Paramètres!$B$9),"",E22-E47)</f>
        <v/>
      </c>
      <c r="F72" s="24" t="str">
        <f>IF(OR($A72="",4&gt;Paramètres!$B$9),"",F22-F47)</f>
        <v/>
      </c>
      <c r="G72" s="24" t="str">
        <f>IF(OR($A72="",5&gt;Paramètres!$B$9),"",G22-G47)</f>
        <v/>
      </c>
      <c r="H72" s="24" t="str">
        <f>IF(OR($A72="",6&gt;Paramètres!$B$9),"",H22-H47)</f>
        <v/>
      </c>
      <c r="I72" s="24" t="str">
        <f>IF(OR($A72="",7&gt;Paramètres!$B$9),"",I22-I47)</f>
        <v/>
      </c>
      <c r="J72" s="24" t="str">
        <f>IF(OR($A72="",8&gt;Paramètres!$B$9),"",J22-J47)</f>
        <v/>
      </c>
      <c r="K72" s="24" t="str">
        <f>IF(OR($A72="",9&gt;Paramètres!$B$9),"",K22-K47)</f>
        <v/>
      </c>
      <c r="L72" s="24" t="str">
        <f>IF(OR($A72="",10&gt;Paramètres!$B$9),"",L22-L47)</f>
        <v/>
      </c>
      <c r="M72" s="24" t="str">
        <f>IF(OR($A72="",11&gt;Paramètres!$B$9),"",M22-M47)</f>
        <v/>
      </c>
      <c r="N72" s="24" t="str">
        <f>IF(OR($A72="",12&gt;Paramètres!$B$9),"",N22-N47)</f>
        <v/>
      </c>
      <c r="O72" s="24" t="str">
        <f>IF(OR($A72="",13&gt;Paramètres!$B$9),"",O22-O47)</f>
        <v/>
      </c>
    </row>
    <row r="73" ht="28" customHeight="1">
      <c r="A73" s="27" t="str">
        <f>IF(Paramètres!F23="","",Paramètres!F23)</f>
        <v/>
      </c>
      <c r="B73" s="27" t="str">
        <f>IF(A73="","","jours / semaine")</f>
        <v/>
      </c>
      <c r="C73" s="26" t="str">
        <f>IF(OR($A73="",1&gt;Paramètres!$B$9),"",C23-C48)</f>
        <v/>
      </c>
      <c r="D73" s="26" t="str">
        <f>IF(OR($A73="",2&gt;Paramètres!$B$9),"",D23-D48)</f>
        <v/>
      </c>
      <c r="E73" s="26" t="str">
        <f>IF(OR($A73="",3&gt;Paramètres!$B$9),"",E23-E48)</f>
        <v/>
      </c>
      <c r="F73" s="26" t="str">
        <f>IF(OR($A73="",4&gt;Paramètres!$B$9),"",F23-F48)</f>
        <v/>
      </c>
      <c r="G73" s="26" t="str">
        <f>IF(OR($A73="",5&gt;Paramètres!$B$9),"",G23-G48)</f>
        <v/>
      </c>
      <c r="H73" s="26" t="str">
        <f>IF(OR($A73="",6&gt;Paramètres!$B$9),"",H23-H48)</f>
        <v/>
      </c>
      <c r="I73" s="26" t="str">
        <f>IF(OR($A73="",7&gt;Paramètres!$B$9),"",I23-I48)</f>
        <v/>
      </c>
      <c r="J73" s="26" t="str">
        <f>IF(OR($A73="",8&gt;Paramètres!$B$9),"",J23-J48)</f>
        <v/>
      </c>
      <c r="K73" s="26" t="str">
        <f>IF(OR($A73="",9&gt;Paramètres!$B$9),"",K23-K48)</f>
        <v/>
      </c>
      <c r="L73" s="26" t="str">
        <f>IF(OR($A73="",10&gt;Paramètres!$B$9),"",L23-L48)</f>
        <v/>
      </c>
      <c r="M73" s="26" t="str">
        <f>IF(OR($A73="",11&gt;Paramètres!$B$9),"",M23-M48)</f>
        <v/>
      </c>
      <c r="N73" s="26" t="str">
        <f>IF(OR($A73="",12&gt;Paramètres!$B$9),"",N23-N48)</f>
        <v/>
      </c>
      <c r="O73" s="26" t="str">
        <f>IF(OR($A73="",13&gt;Paramètres!$B$9),"",O23-O48)</f>
        <v/>
      </c>
    </row>
    <row r="74" ht="28" customHeight="1">
      <c r="A74" s="25" t="str">
        <f>IF(Paramètres!F24="","",Paramètres!F24)</f>
        <v/>
      </c>
      <c r="B74" s="25" t="str">
        <f>IF(A74="","","jours / semaine")</f>
        <v/>
      </c>
      <c r="C74" s="24" t="str">
        <f>IF(OR($A74="",1&gt;Paramètres!$B$9),"",C24-C49)</f>
        <v/>
      </c>
      <c r="D74" s="24" t="str">
        <f>IF(OR($A74="",2&gt;Paramètres!$B$9),"",D24-D49)</f>
        <v/>
      </c>
      <c r="E74" s="24" t="str">
        <f>IF(OR($A74="",3&gt;Paramètres!$B$9),"",E24-E49)</f>
        <v/>
      </c>
      <c r="F74" s="24" t="str">
        <f>IF(OR($A74="",4&gt;Paramètres!$B$9),"",F24-F49)</f>
        <v/>
      </c>
      <c r="G74" s="24" t="str">
        <f>IF(OR($A74="",5&gt;Paramètres!$B$9),"",G24-G49)</f>
        <v/>
      </c>
      <c r="H74" s="24" t="str">
        <f>IF(OR($A74="",6&gt;Paramètres!$B$9),"",H24-H49)</f>
        <v/>
      </c>
      <c r="I74" s="24" t="str">
        <f>IF(OR($A74="",7&gt;Paramètres!$B$9),"",I24-I49)</f>
        <v/>
      </c>
      <c r="J74" s="24" t="str">
        <f>IF(OR($A74="",8&gt;Paramètres!$B$9),"",J24-J49)</f>
        <v/>
      </c>
      <c r="K74" s="24" t="str">
        <f>IF(OR($A74="",9&gt;Paramètres!$B$9),"",K24-K49)</f>
        <v/>
      </c>
      <c r="L74" s="24" t="str">
        <f>IF(OR($A74="",10&gt;Paramètres!$B$9),"",L24-L49)</f>
        <v/>
      </c>
      <c r="M74" s="24" t="str">
        <f>IF(OR($A74="",11&gt;Paramètres!$B$9),"",M24-M49)</f>
        <v/>
      </c>
      <c r="N74" s="24" t="str">
        <f>IF(OR($A74="",12&gt;Paramètres!$B$9),"",N24-N49)</f>
        <v/>
      </c>
      <c r="O74" s="24" t="str">
        <f>IF(OR($A74="",13&gt;Paramètres!$B$9),"",O24-O49)</f>
        <v/>
      </c>
    </row>
    <row r="75" ht="28" customHeight="1">
      <c r="A75" s="27" t="str">
        <f>IF(Paramètres!F25="","",Paramètres!F25)</f>
        <v/>
      </c>
      <c r="B75" s="27" t="str">
        <f>IF(A75="","","jours / semaine")</f>
        <v/>
      </c>
      <c r="C75" s="26" t="str">
        <f>IF(OR($A75="",1&gt;Paramètres!$B$9),"",C25-C50)</f>
        <v/>
      </c>
      <c r="D75" s="26" t="str">
        <f>IF(OR($A75="",2&gt;Paramètres!$B$9),"",D25-D50)</f>
        <v/>
      </c>
      <c r="E75" s="26" t="str">
        <f>IF(OR($A75="",3&gt;Paramètres!$B$9),"",E25-E50)</f>
        <v/>
      </c>
      <c r="F75" s="26" t="str">
        <f>IF(OR($A75="",4&gt;Paramètres!$B$9),"",F25-F50)</f>
        <v/>
      </c>
      <c r="G75" s="26" t="str">
        <f>IF(OR($A75="",5&gt;Paramètres!$B$9),"",G25-G50)</f>
        <v/>
      </c>
      <c r="H75" s="26" t="str">
        <f>IF(OR($A75="",6&gt;Paramètres!$B$9),"",H25-H50)</f>
        <v/>
      </c>
      <c r="I75" s="26" t="str">
        <f>IF(OR($A75="",7&gt;Paramètres!$B$9),"",I25-I50)</f>
        <v/>
      </c>
      <c r="J75" s="26" t="str">
        <f>IF(OR($A75="",8&gt;Paramètres!$B$9),"",J25-J50)</f>
        <v/>
      </c>
      <c r="K75" s="26" t="str">
        <f>IF(OR($A75="",9&gt;Paramètres!$B$9),"",K25-K50)</f>
        <v/>
      </c>
      <c r="L75" s="26" t="str">
        <f>IF(OR($A75="",10&gt;Paramètres!$B$9),"",L25-L50)</f>
        <v/>
      </c>
      <c r="M75" s="26" t="str">
        <f>IF(OR($A75="",11&gt;Paramètres!$B$9),"",M25-M50)</f>
        <v/>
      </c>
      <c r="N75" s="26" t="str">
        <f>IF(OR($A75="",12&gt;Paramètres!$B$9),"",N25-N50)</f>
        <v/>
      </c>
      <c r="O75" s="26" t="str">
        <f>IF(OR($A75="",13&gt;Paramètres!$B$9),"",O25-O50)</f>
        <v/>
      </c>
    </row>
    <row r="76" ht="28" customHeight="1">
      <c r="A76" s="25" t="str">
        <f>IF(Paramètres!F26="","",Paramètres!F26)</f>
        <v/>
      </c>
      <c r="B76" s="25" t="str">
        <f>IF(A76="","","jours / semaine")</f>
        <v/>
      </c>
      <c r="C76" s="24" t="str">
        <f>IF(OR($A76="",1&gt;Paramètres!$B$9),"",C26-C51)</f>
        <v/>
      </c>
      <c r="D76" s="24" t="str">
        <f>IF(OR($A76="",2&gt;Paramètres!$B$9),"",D26-D51)</f>
        <v/>
      </c>
      <c r="E76" s="24" t="str">
        <f>IF(OR($A76="",3&gt;Paramètres!$B$9),"",E26-E51)</f>
        <v/>
      </c>
      <c r="F76" s="24" t="str">
        <f>IF(OR($A76="",4&gt;Paramètres!$B$9),"",F26-F51)</f>
        <v/>
      </c>
      <c r="G76" s="24" t="str">
        <f>IF(OR($A76="",5&gt;Paramètres!$B$9),"",G26-G51)</f>
        <v/>
      </c>
      <c r="H76" s="24" t="str">
        <f>IF(OR($A76="",6&gt;Paramètres!$B$9),"",H26-H51)</f>
        <v/>
      </c>
      <c r="I76" s="24" t="str">
        <f>IF(OR($A76="",7&gt;Paramètres!$B$9),"",I26-I51)</f>
        <v/>
      </c>
      <c r="J76" s="24" t="str">
        <f>IF(OR($A76="",8&gt;Paramètres!$B$9),"",J26-J51)</f>
        <v/>
      </c>
      <c r="K76" s="24" t="str">
        <f>IF(OR($A76="",9&gt;Paramètres!$B$9),"",K26-K51)</f>
        <v/>
      </c>
      <c r="L76" s="24" t="str">
        <f>IF(OR($A76="",10&gt;Paramètres!$B$9),"",L26-L51)</f>
        <v/>
      </c>
      <c r="M76" s="24" t="str">
        <f>IF(OR($A76="",11&gt;Paramètres!$B$9),"",M26-M51)</f>
        <v/>
      </c>
      <c r="N76" s="24" t="str">
        <f>IF(OR($A76="",12&gt;Paramètres!$B$9),"",N26-N51)</f>
        <v/>
      </c>
      <c r="O76" s="24" t="str">
        <f>IF(OR($A76="",13&gt;Paramètres!$B$9),"",O26-O51)</f>
        <v/>
      </c>
    </row>
    <row r="77" ht="28" customHeight="1">
      <c r="A77" s="27" t="str">
        <f>IF(Paramètres!F27="","",Paramètres!F27)</f>
        <v/>
      </c>
      <c r="B77" s="27" t="str">
        <f>IF(A77="","","jours / semaine")</f>
        <v/>
      </c>
      <c r="C77" s="26" t="str">
        <f>IF(OR($A77="",1&gt;Paramètres!$B$9),"",C27-C52)</f>
        <v/>
      </c>
      <c r="D77" s="26" t="str">
        <f>IF(OR($A77="",2&gt;Paramètres!$B$9),"",D27-D52)</f>
        <v/>
      </c>
      <c r="E77" s="26" t="str">
        <f>IF(OR($A77="",3&gt;Paramètres!$B$9),"",E27-E52)</f>
        <v/>
      </c>
      <c r="F77" s="26" t="str">
        <f>IF(OR($A77="",4&gt;Paramètres!$B$9),"",F27-F52)</f>
        <v/>
      </c>
      <c r="G77" s="26" t="str">
        <f>IF(OR($A77="",5&gt;Paramètres!$B$9),"",G27-G52)</f>
        <v/>
      </c>
      <c r="H77" s="26" t="str">
        <f>IF(OR($A77="",6&gt;Paramètres!$B$9),"",H27-H52)</f>
        <v/>
      </c>
      <c r="I77" s="26" t="str">
        <f>IF(OR($A77="",7&gt;Paramètres!$B$9),"",I27-I52)</f>
        <v/>
      </c>
      <c r="J77" s="26" t="str">
        <f>IF(OR($A77="",8&gt;Paramètres!$B$9),"",J27-J52)</f>
        <v/>
      </c>
      <c r="K77" s="26" t="str">
        <f>IF(OR($A77="",9&gt;Paramètres!$B$9),"",K27-K52)</f>
        <v/>
      </c>
      <c r="L77" s="26" t="str">
        <f>IF(OR($A77="",10&gt;Paramètres!$B$9),"",L27-L52)</f>
        <v/>
      </c>
      <c r="M77" s="26" t="str">
        <f>IF(OR($A77="",11&gt;Paramètres!$B$9),"",M27-M52)</f>
        <v/>
      </c>
      <c r="N77" s="26" t="str">
        <f>IF(OR($A77="",12&gt;Paramètres!$B$9),"",N27-N52)</f>
        <v/>
      </c>
      <c r="O77" s="26" t="str">
        <f>IF(OR($A77="",13&gt;Paramètres!$B$9),"",O27-O52)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O2"/>
    <mergeCell ref="A4:O5"/>
  </mergeCells>
  <conditionalFormatting sqref="C58:O77">
    <cfRule type="cellIs" priority="1" operator="lessThan" dxfId="1">
      <formula>0</formula>
    </cfRule>
  </conditionalFormatting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3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O13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</cols>
  <sheetData>
    <row r="1" ht="25" customHeight="1">
      <c r="A1" s="1" t="inlineStr">
        <is>
          <t>06 / Charge et marge par personne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Les trois grilles suivent le scénario actif. Une marge négative signale un dépassement sur la semaine, même si le total de période est positif.</t>
        </is>
      </c>
    </row>
    <row r="5" ht="20" customHeight="1"/>
    <row r="7" ht="28" customHeight="1">
      <c r="A7" s="23" t="inlineStr">
        <is>
          <t>CAPACITÉ DISPONIBLE</t>
        </is>
      </c>
      <c r="B7" s="23" t="inlineStr">
        <is>
          <t>Nom / équipe</t>
        </is>
      </c>
      <c r="C7" s="29" t="n">
        <f>IFERROR(IF(1&lt;=Paramètres!$B$9,Paramètres!$B$8+0,""),"")</f>
        <v>46300</v>
      </c>
      <c r="D7" s="29" t="n">
        <f>IFERROR(IF(2&lt;=Paramètres!$B$9,Paramètres!$B$8+7,""),"")</f>
        <v>46307</v>
      </c>
      <c r="E7" s="29" t="n">
        <f>IFERROR(IF(3&lt;=Paramètres!$B$9,Paramètres!$B$8+14,""),"")</f>
        <v>46314</v>
      </c>
      <c r="F7" s="29" t="n">
        <f>IFERROR(IF(4&lt;=Paramètres!$B$9,Paramètres!$B$8+21,""),"")</f>
        <v>46321</v>
      </c>
      <c r="G7" s="29" t="n">
        <f>IFERROR(IF(5&lt;=Paramètres!$B$9,Paramètres!$B$8+28,""),"")</f>
        <v>46328</v>
      </c>
      <c r="H7" s="29" t="n">
        <f>IFERROR(IF(6&lt;=Paramètres!$B$9,Paramètres!$B$8+35,""),"")</f>
        <v>46335</v>
      </c>
      <c r="I7" s="29" t="n">
        <f>IFERROR(IF(7&lt;=Paramètres!$B$9,Paramètres!$B$8+42,""),"")</f>
        <v>46342</v>
      </c>
      <c r="J7" s="29" t="n">
        <f>IFERROR(IF(8&lt;=Paramètres!$B$9,Paramètres!$B$8+49,""),"")</f>
        <v>46349</v>
      </c>
      <c r="K7" s="29" t="n">
        <f>IFERROR(IF(9&lt;=Paramètres!$B$9,Paramètres!$B$8+56,""),"")</f>
        <v>46356</v>
      </c>
      <c r="L7" s="29" t="n">
        <f>IFERROR(IF(10&lt;=Paramètres!$B$9,Paramètres!$B$8+63,""),"")</f>
        <v>46363</v>
      </c>
      <c r="M7" s="29" t="n">
        <f>IFERROR(IF(11&lt;=Paramètres!$B$9,Paramètres!$B$8+70,""),"")</f>
        <v>46370</v>
      </c>
      <c r="N7" s="29" t="n">
        <f>IFERROR(IF(12&lt;=Paramètres!$B$9,Paramètres!$B$8+77,""),"")</f>
        <v>46377</v>
      </c>
      <c r="O7" s="29" t="n">
        <f>IFERROR(IF(13&lt;=Paramètres!$B$9,Paramètres!$B$8+84,""),"")</f>
        <v>46384</v>
      </c>
    </row>
    <row r="8" ht="28" customHeight="1">
      <c r="A8" s="25" t="str">
        <f>IF(Personnes!A8="","",Personnes!A8)</f>
        <v/>
      </c>
      <c r="B8" s="25" t="str">
        <f>IF(A8="","",Personnes!B8)</f>
        <v/>
      </c>
      <c r="C8" s="24" t="str">
        <f>IF(OR($A8="",1&gt;Paramètres!$B$9),"",IF(Capacité!C8="",Personnes!$G8,IF(ISNUMBER(Capacité!C8),MAX(0,Capacité!C8),0)))</f>
        <v/>
      </c>
      <c r="D8" s="24" t="str">
        <f>IF(OR($A8="",2&gt;Paramètres!$B$9),"",IF(Capacité!D8="",Personnes!$G8,IF(ISNUMBER(Capacité!D8),MAX(0,Capacité!D8),0)))</f>
        <v/>
      </c>
      <c r="E8" s="24" t="str">
        <f>IF(OR($A8="",3&gt;Paramètres!$B$9),"",IF(Capacité!E8="",Personnes!$G8,IF(ISNUMBER(Capacité!E8),MAX(0,Capacité!E8),0)))</f>
        <v/>
      </c>
      <c r="F8" s="24" t="str">
        <f>IF(OR($A8="",4&gt;Paramètres!$B$9),"",IF(Capacité!F8="",Personnes!$G8,IF(ISNUMBER(Capacité!F8),MAX(0,Capacité!F8),0)))</f>
        <v/>
      </c>
      <c r="G8" s="24" t="str">
        <f>IF(OR($A8="",5&gt;Paramètres!$B$9),"",IF(Capacité!G8="",Personnes!$G8,IF(ISNUMBER(Capacité!G8),MAX(0,Capacité!G8),0)))</f>
        <v/>
      </c>
      <c r="H8" s="24" t="str">
        <f>IF(OR($A8="",6&gt;Paramètres!$B$9),"",IF(Capacité!H8="",Personnes!$G8,IF(ISNUMBER(Capacité!H8),MAX(0,Capacité!H8),0)))</f>
        <v/>
      </c>
      <c r="I8" s="24" t="str">
        <f>IF(OR($A8="",7&gt;Paramètres!$B$9),"",IF(Capacité!I8="",Personnes!$G8,IF(ISNUMBER(Capacité!I8),MAX(0,Capacité!I8),0)))</f>
        <v/>
      </c>
      <c r="J8" s="24" t="str">
        <f>IF(OR($A8="",8&gt;Paramètres!$B$9),"",IF(Capacité!J8="",Personnes!$G8,IF(ISNUMBER(Capacité!J8),MAX(0,Capacité!J8),0)))</f>
        <v/>
      </c>
      <c r="K8" s="24" t="str">
        <f>IF(OR($A8="",9&gt;Paramètres!$B$9),"",IF(Capacité!K8="",Personnes!$G8,IF(ISNUMBER(Capacité!K8),MAX(0,Capacité!K8),0)))</f>
        <v/>
      </c>
      <c r="L8" s="24" t="str">
        <f>IF(OR($A8="",10&gt;Paramètres!$B$9),"",IF(Capacité!L8="",Personnes!$G8,IF(ISNUMBER(Capacité!L8),MAX(0,Capacité!L8),0)))</f>
        <v/>
      </c>
      <c r="M8" s="24" t="str">
        <f>IF(OR($A8="",11&gt;Paramètres!$B$9),"",IF(Capacité!M8="",Personnes!$G8,IF(ISNUMBER(Capacité!M8),MAX(0,Capacité!M8),0)))</f>
        <v/>
      </c>
      <c r="N8" s="24" t="str">
        <f>IF(OR($A8="",12&gt;Paramètres!$B$9),"",IF(Capacité!N8="",Personnes!$G8,IF(ISNUMBER(Capacité!N8),MAX(0,Capacité!N8),0)))</f>
        <v/>
      </c>
      <c r="O8" s="24" t="str">
        <f>IF(OR($A8="",13&gt;Paramètres!$B$9),"",IF(Capacité!O8="",Personnes!$G8,IF(ISNUMBER(Capacité!O8),MAX(0,Capacité!O8),0)))</f>
        <v/>
      </c>
    </row>
    <row r="9" ht="28" customHeight="1">
      <c r="A9" s="27" t="str">
        <f>IF(Personnes!A9="","",Personnes!A9)</f>
        <v/>
      </c>
      <c r="B9" s="27" t="str">
        <f>IF(A9="","",Personnes!B9)</f>
        <v/>
      </c>
      <c r="C9" s="26" t="str">
        <f>IF(OR($A9="",1&gt;Paramètres!$B$9),"",IF(Capacité!C9="",Personnes!$G9,IF(ISNUMBER(Capacité!C9),MAX(0,Capacité!C9),0)))</f>
        <v/>
      </c>
      <c r="D9" s="26" t="str">
        <f>IF(OR($A9="",2&gt;Paramètres!$B$9),"",IF(Capacité!D9="",Personnes!$G9,IF(ISNUMBER(Capacité!D9),MAX(0,Capacité!D9),0)))</f>
        <v/>
      </c>
      <c r="E9" s="26" t="str">
        <f>IF(OR($A9="",3&gt;Paramètres!$B$9),"",IF(Capacité!E9="",Personnes!$G9,IF(ISNUMBER(Capacité!E9),MAX(0,Capacité!E9),0)))</f>
        <v/>
      </c>
      <c r="F9" s="26" t="str">
        <f>IF(OR($A9="",4&gt;Paramètres!$B$9),"",IF(Capacité!F9="",Personnes!$G9,IF(ISNUMBER(Capacité!F9),MAX(0,Capacité!F9),0)))</f>
        <v/>
      </c>
      <c r="G9" s="26" t="str">
        <f>IF(OR($A9="",5&gt;Paramètres!$B$9),"",IF(Capacité!G9="",Personnes!$G9,IF(ISNUMBER(Capacité!G9),MAX(0,Capacité!G9),0)))</f>
        <v/>
      </c>
      <c r="H9" s="26" t="str">
        <f>IF(OR($A9="",6&gt;Paramètres!$B$9),"",IF(Capacité!H9="",Personnes!$G9,IF(ISNUMBER(Capacité!H9),MAX(0,Capacité!H9),0)))</f>
        <v/>
      </c>
      <c r="I9" s="26" t="str">
        <f>IF(OR($A9="",7&gt;Paramètres!$B$9),"",IF(Capacité!I9="",Personnes!$G9,IF(ISNUMBER(Capacité!I9),MAX(0,Capacité!I9),0)))</f>
        <v/>
      </c>
      <c r="J9" s="26" t="str">
        <f>IF(OR($A9="",8&gt;Paramètres!$B$9),"",IF(Capacité!J9="",Personnes!$G9,IF(ISNUMBER(Capacité!J9),MAX(0,Capacité!J9),0)))</f>
        <v/>
      </c>
      <c r="K9" s="26" t="str">
        <f>IF(OR($A9="",9&gt;Paramètres!$B$9),"",IF(Capacité!K9="",Personnes!$G9,IF(ISNUMBER(Capacité!K9),MAX(0,Capacité!K9),0)))</f>
        <v/>
      </c>
      <c r="L9" s="26" t="str">
        <f>IF(OR($A9="",10&gt;Paramètres!$B$9),"",IF(Capacité!L9="",Personnes!$G9,IF(ISNUMBER(Capacité!L9),MAX(0,Capacité!L9),0)))</f>
        <v/>
      </c>
      <c r="M9" s="26" t="str">
        <f>IF(OR($A9="",11&gt;Paramètres!$B$9),"",IF(Capacité!M9="",Personnes!$G9,IF(ISNUMBER(Capacité!M9),MAX(0,Capacité!M9),0)))</f>
        <v/>
      </c>
      <c r="N9" s="26" t="str">
        <f>IF(OR($A9="",12&gt;Paramètres!$B$9),"",IF(Capacité!N9="",Personnes!$G9,IF(ISNUMBER(Capacité!N9),MAX(0,Capacité!N9),0)))</f>
        <v/>
      </c>
      <c r="O9" s="26" t="str">
        <f>IF(OR($A9="",13&gt;Paramètres!$B$9),"",IF(Capacité!O9="",Personnes!$G9,IF(ISNUMBER(Capacité!O9),MAX(0,Capacité!O9),0)))</f>
        <v/>
      </c>
    </row>
    <row r="10" ht="28" customHeight="1">
      <c r="A10" s="25" t="str">
        <f>IF(Personnes!A10="","",Personnes!A10)</f>
        <v/>
      </c>
      <c r="B10" s="25" t="str">
        <f>IF(A10="","",Personnes!B10)</f>
        <v/>
      </c>
      <c r="C10" s="24" t="str">
        <f>IF(OR($A10="",1&gt;Paramètres!$B$9),"",IF(Capacité!C10="",Personnes!$G10,IF(ISNUMBER(Capacité!C10),MAX(0,Capacité!C10),0)))</f>
        <v/>
      </c>
      <c r="D10" s="24" t="str">
        <f>IF(OR($A10="",2&gt;Paramètres!$B$9),"",IF(Capacité!D10="",Personnes!$G10,IF(ISNUMBER(Capacité!D10),MAX(0,Capacité!D10),0)))</f>
        <v/>
      </c>
      <c r="E10" s="24" t="str">
        <f>IF(OR($A10="",3&gt;Paramètres!$B$9),"",IF(Capacité!E10="",Personnes!$G10,IF(ISNUMBER(Capacité!E10),MAX(0,Capacité!E10),0)))</f>
        <v/>
      </c>
      <c r="F10" s="24" t="str">
        <f>IF(OR($A10="",4&gt;Paramètres!$B$9),"",IF(Capacité!F10="",Personnes!$G10,IF(ISNUMBER(Capacité!F10),MAX(0,Capacité!F10),0)))</f>
        <v/>
      </c>
      <c r="G10" s="24" t="str">
        <f>IF(OR($A10="",5&gt;Paramètres!$B$9),"",IF(Capacité!G10="",Personnes!$G10,IF(ISNUMBER(Capacité!G10),MAX(0,Capacité!G10),0)))</f>
        <v/>
      </c>
      <c r="H10" s="24" t="str">
        <f>IF(OR($A10="",6&gt;Paramètres!$B$9),"",IF(Capacité!H10="",Personnes!$G10,IF(ISNUMBER(Capacité!H10),MAX(0,Capacité!H10),0)))</f>
        <v/>
      </c>
      <c r="I10" s="24" t="str">
        <f>IF(OR($A10="",7&gt;Paramètres!$B$9),"",IF(Capacité!I10="",Personnes!$G10,IF(ISNUMBER(Capacité!I10),MAX(0,Capacité!I10),0)))</f>
        <v/>
      </c>
      <c r="J10" s="24" t="str">
        <f>IF(OR($A10="",8&gt;Paramètres!$B$9),"",IF(Capacité!J10="",Personnes!$G10,IF(ISNUMBER(Capacité!J10),MAX(0,Capacité!J10),0)))</f>
        <v/>
      </c>
      <c r="K10" s="24" t="str">
        <f>IF(OR($A10="",9&gt;Paramètres!$B$9),"",IF(Capacité!K10="",Personnes!$G10,IF(ISNUMBER(Capacité!K10),MAX(0,Capacité!K10),0)))</f>
        <v/>
      </c>
      <c r="L10" s="24" t="str">
        <f>IF(OR($A10="",10&gt;Paramètres!$B$9),"",IF(Capacité!L10="",Personnes!$G10,IF(ISNUMBER(Capacité!L10),MAX(0,Capacité!L10),0)))</f>
        <v/>
      </c>
      <c r="M10" s="24" t="str">
        <f>IF(OR($A10="",11&gt;Paramètres!$B$9),"",IF(Capacité!M10="",Personnes!$G10,IF(ISNUMBER(Capacité!M10),MAX(0,Capacité!M10),0)))</f>
        <v/>
      </c>
      <c r="N10" s="24" t="str">
        <f>IF(OR($A10="",12&gt;Paramètres!$B$9),"",IF(Capacité!N10="",Personnes!$G10,IF(ISNUMBER(Capacité!N10),MAX(0,Capacité!N10),0)))</f>
        <v/>
      </c>
      <c r="O10" s="24" t="str">
        <f>IF(OR($A10="",13&gt;Paramètres!$B$9),"",IF(Capacité!O10="",Personnes!$G10,IF(ISNUMBER(Capacité!O10),MAX(0,Capacité!O10),0)))</f>
        <v/>
      </c>
    </row>
    <row r="11" ht="28" customHeight="1">
      <c r="A11" s="27" t="str">
        <f>IF(Personnes!A11="","",Personnes!A11)</f>
        <v/>
      </c>
      <c r="B11" s="27" t="str">
        <f>IF(A11="","",Personnes!B11)</f>
        <v/>
      </c>
      <c r="C11" s="26" t="str">
        <f>IF(OR($A11="",1&gt;Paramètres!$B$9),"",IF(Capacité!C11="",Personnes!$G11,IF(ISNUMBER(Capacité!C11),MAX(0,Capacité!C11),0)))</f>
        <v/>
      </c>
      <c r="D11" s="26" t="str">
        <f>IF(OR($A11="",2&gt;Paramètres!$B$9),"",IF(Capacité!D11="",Personnes!$G11,IF(ISNUMBER(Capacité!D11),MAX(0,Capacité!D11),0)))</f>
        <v/>
      </c>
      <c r="E11" s="26" t="str">
        <f>IF(OR($A11="",3&gt;Paramètres!$B$9),"",IF(Capacité!E11="",Personnes!$G11,IF(ISNUMBER(Capacité!E11),MAX(0,Capacité!E11),0)))</f>
        <v/>
      </c>
      <c r="F11" s="26" t="str">
        <f>IF(OR($A11="",4&gt;Paramètres!$B$9),"",IF(Capacité!F11="",Personnes!$G11,IF(ISNUMBER(Capacité!F11),MAX(0,Capacité!F11),0)))</f>
        <v/>
      </c>
      <c r="G11" s="26" t="str">
        <f>IF(OR($A11="",5&gt;Paramètres!$B$9),"",IF(Capacité!G11="",Personnes!$G11,IF(ISNUMBER(Capacité!G11),MAX(0,Capacité!G11),0)))</f>
        <v/>
      </c>
      <c r="H11" s="26" t="str">
        <f>IF(OR($A11="",6&gt;Paramètres!$B$9),"",IF(Capacité!H11="",Personnes!$G11,IF(ISNUMBER(Capacité!H11),MAX(0,Capacité!H11),0)))</f>
        <v/>
      </c>
      <c r="I11" s="26" t="str">
        <f>IF(OR($A11="",7&gt;Paramètres!$B$9),"",IF(Capacité!I11="",Personnes!$G11,IF(ISNUMBER(Capacité!I11),MAX(0,Capacité!I11),0)))</f>
        <v/>
      </c>
      <c r="J11" s="26" t="str">
        <f>IF(OR($A11="",8&gt;Paramètres!$B$9),"",IF(Capacité!J11="",Personnes!$G11,IF(ISNUMBER(Capacité!J11),MAX(0,Capacité!J11),0)))</f>
        <v/>
      </c>
      <c r="K11" s="26" t="str">
        <f>IF(OR($A11="",9&gt;Paramètres!$B$9),"",IF(Capacité!K11="",Personnes!$G11,IF(ISNUMBER(Capacité!K11),MAX(0,Capacité!K11),0)))</f>
        <v/>
      </c>
      <c r="L11" s="26" t="str">
        <f>IF(OR($A11="",10&gt;Paramètres!$B$9),"",IF(Capacité!L11="",Personnes!$G11,IF(ISNUMBER(Capacité!L11),MAX(0,Capacité!L11),0)))</f>
        <v/>
      </c>
      <c r="M11" s="26" t="str">
        <f>IF(OR($A11="",11&gt;Paramètres!$B$9),"",IF(Capacité!M11="",Personnes!$G11,IF(ISNUMBER(Capacité!M11),MAX(0,Capacité!M11),0)))</f>
        <v/>
      </c>
      <c r="N11" s="26" t="str">
        <f>IF(OR($A11="",12&gt;Paramètres!$B$9),"",IF(Capacité!N11="",Personnes!$G11,IF(ISNUMBER(Capacité!N11),MAX(0,Capacité!N11),0)))</f>
        <v/>
      </c>
      <c r="O11" s="26" t="str">
        <f>IF(OR($A11="",13&gt;Paramètres!$B$9),"",IF(Capacité!O11="",Personnes!$G11,IF(ISNUMBER(Capacité!O11),MAX(0,Capacité!O11),0)))</f>
        <v/>
      </c>
    </row>
    <row r="12" ht="28" customHeight="1">
      <c r="A12" s="25" t="str">
        <f>IF(Personnes!A12="","",Personnes!A12)</f>
        <v/>
      </c>
      <c r="B12" s="25" t="str">
        <f>IF(A12="","",Personnes!B12)</f>
        <v/>
      </c>
      <c r="C12" s="24" t="str">
        <f>IF(OR($A12="",1&gt;Paramètres!$B$9),"",IF(Capacité!C12="",Personnes!$G12,IF(ISNUMBER(Capacité!C12),MAX(0,Capacité!C12),0)))</f>
        <v/>
      </c>
      <c r="D12" s="24" t="str">
        <f>IF(OR($A12="",2&gt;Paramètres!$B$9),"",IF(Capacité!D12="",Personnes!$G12,IF(ISNUMBER(Capacité!D12),MAX(0,Capacité!D12),0)))</f>
        <v/>
      </c>
      <c r="E12" s="24" t="str">
        <f>IF(OR($A12="",3&gt;Paramètres!$B$9),"",IF(Capacité!E12="",Personnes!$G12,IF(ISNUMBER(Capacité!E12),MAX(0,Capacité!E12),0)))</f>
        <v/>
      </c>
      <c r="F12" s="24" t="str">
        <f>IF(OR($A12="",4&gt;Paramètres!$B$9),"",IF(Capacité!F12="",Personnes!$G12,IF(ISNUMBER(Capacité!F12),MAX(0,Capacité!F12),0)))</f>
        <v/>
      </c>
      <c r="G12" s="24" t="str">
        <f>IF(OR($A12="",5&gt;Paramètres!$B$9),"",IF(Capacité!G12="",Personnes!$G12,IF(ISNUMBER(Capacité!G12),MAX(0,Capacité!G12),0)))</f>
        <v/>
      </c>
      <c r="H12" s="24" t="str">
        <f>IF(OR($A12="",6&gt;Paramètres!$B$9),"",IF(Capacité!H12="",Personnes!$G12,IF(ISNUMBER(Capacité!H12),MAX(0,Capacité!H12),0)))</f>
        <v/>
      </c>
      <c r="I12" s="24" t="str">
        <f>IF(OR($A12="",7&gt;Paramètres!$B$9),"",IF(Capacité!I12="",Personnes!$G12,IF(ISNUMBER(Capacité!I12),MAX(0,Capacité!I12),0)))</f>
        <v/>
      </c>
      <c r="J12" s="24" t="str">
        <f>IF(OR($A12="",8&gt;Paramètres!$B$9),"",IF(Capacité!J12="",Personnes!$G12,IF(ISNUMBER(Capacité!J12),MAX(0,Capacité!J12),0)))</f>
        <v/>
      </c>
      <c r="K12" s="24" t="str">
        <f>IF(OR($A12="",9&gt;Paramètres!$B$9),"",IF(Capacité!K12="",Personnes!$G12,IF(ISNUMBER(Capacité!K12),MAX(0,Capacité!K12),0)))</f>
        <v/>
      </c>
      <c r="L12" s="24" t="str">
        <f>IF(OR($A12="",10&gt;Paramètres!$B$9),"",IF(Capacité!L12="",Personnes!$G12,IF(ISNUMBER(Capacité!L12),MAX(0,Capacité!L12),0)))</f>
        <v/>
      </c>
      <c r="M12" s="24" t="str">
        <f>IF(OR($A12="",11&gt;Paramètres!$B$9),"",IF(Capacité!M12="",Personnes!$G12,IF(ISNUMBER(Capacité!M12),MAX(0,Capacité!M12),0)))</f>
        <v/>
      </c>
      <c r="N12" s="24" t="str">
        <f>IF(OR($A12="",12&gt;Paramètres!$B$9),"",IF(Capacité!N12="",Personnes!$G12,IF(ISNUMBER(Capacité!N12),MAX(0,Capacité!N12),0)))</f>
        <v/>
      </c>
      <c r="O12" s="24" t="str">
        <f>IF(OR($A12="",13&gt;Paramètres!$B$9),"",IF(Capacité!O12="",Personnes!$G12,IF(ISNUMBER(Capacité!O12),MAX(0,Capacité!O12),0)))</f>
        <v/>
      </c>
    </row>
    <row r="13" ht="28" customHeight="1">
      <c r="A13" s="27" t="str">
        <f>IF(Personnes!A13="","",Personnes!A13)</f>
        <v/>
      </c>
      <c r="B13" s="27" t="str">
        <f>IF(A13="","",Personnes!B13)</f>
        <v/>
      </c>
      <c r="C13" s="26" t="str">
        <f>IF(OR($A13="",1&gt;Paramètres!$B$9),"",IF(Capacité!C13="",Personnes!$G13,IF(ISNUMBER(Capacité!C13),MAX(0,Capacité!C13),0)))</f>
        <v/>
      </c>
      <c r="D13" s="26" t="str">
        <f>IF(OR($A13="",2&gt;Paramètres!$B$9),"",IF(Capacité!D13="",Personnes!$G13,IF(ISNUMBER(Capacité!D13),MAX(0,Capacité!D13),0)))</f>
        <v/>
      </c>
      <c r="E13" s="26" t="str">
        <f>IF(OR($A13="",3&gt;Paramètres!$B$9),"",IF(Capacité!E13="",Personnes!$G13,IF(ISNUMBER(Capacité!E13),MAX(0,Capacité!E13),0)))</f>
        <v/>
      </c>
      <c r="F13" s="26" t="str">
        <f>IF(OR($A13="",4&gt;Paramètres!$B$9),"",IF(Capacité!F13="",Personnes!$G13,IF(ISNUMBER(Capacité!F13),MAX(0,Capacité!F13),0)))</f>
        <v/>
      </c>
      <c r="G13" s="26" t="str">
        <f>IF(OR($A13="",5&gt;Paramètres!$B$9),"",IF(Capacité!G13="",Personnes!$G13,IF(ISNUMBER(Capacité!G13),MAX(0,Capacité!G13),0)))</f>
        <v/>
      </c>
      <c r="H13" s="26" t="str">
        <f>IF(OR($A13="",6&gt;Paramètres!$B$9),"",IF(Capacité!H13="",Personnes!$G13,IF(ISNUMBER(Capacité!H13),MAX(0,Capacité!H13),0)))</f>
        <v/>
      </c>
      <c r="I13" s="26" t="str">
        <f>IF(OR($A13="",7&gt;Paramètres!$B$9),"",IF(Capacité!I13="",Personnes!$G13,IF(ISNUMBER(Capacité!I13),MAX(0,Capacité!I13),0)))</f>
        <v/>
      </c>
      <c r="J13" s="26" t="str">
        <f>IF(OR($A13="",8&gt;Paramètres!$B$9),"",IF(Capacité!J13="",Personnes!$G13,IF(ISNUMBER(Capacité!J13),MAX(0,Capacité!J13),0)))</f>
        <v/>
      </c>
      <c r="K13" s="26" t="str">
        <f>IF(OR($A13="",9&gt;Paramètres!$B$9),"",IF(Capacité!K13="",Personnes!$G13,IF(ISNUMBER(Capacité!K13),MAX(0,Capacité!K13),0)))</f>
        <v/>
      </c>
      <c r="L13" s="26" t="str">
        <f>IF(OR($A13="",10&gt;Paramètres!$B$9),"",IF(Capacité!L13="",Personnes!$G13,IF(ISNUMBER(Capacité!L13),MAX(0,Capacité!L13),0)))</f>
        <v/>
      </c>
      <c r="M13" s="26" t="str">
        <f>IF(OR($A13="",11&gt;Paramètres!$B$9),"",IF(Capacité!M13="",Personnes!$G13,IF(ISNUMBER(Capacité!M13),MAX(0,Capacité!M13),0)))</f>
        <v/>
      </c>
      <c r="N13" s="26" t="str">
        <f>IF(OR($A13="",12&gt;Paramètres!$B$9),"",IF(Capacité!N13="",Personnes!$G13,IF(ISNUMBER(Capacité!N13),MAX(0,Capacité!N13),0)))</f>
        <v/>
      </c>
      <c r="O13" s="26" t="str">
        <f>IF(OR($A13="",13&gt;Paramètres!$B$9),"",IF(Capacité!O13="",Personnes!$G13,IF(ISNUMBER(Capacité!O13),MAX(0,Capacité!O13),0)))</f>
        <v/>
      </c>
    </row>
    <row r="14" ht="28" customHeight="1">
      <c r="A14" s="25" t="str">
        <f>IF(Personnes!A14="","",Personnes!A14)</f>
        <v/>
      </c>
      <c r="B14" s="25" t="str">
        <f>IF(A14="","",Personnes!B14)</f>
        <v/>
      </c>
      <c r="C14" s="24" t="str">
        <f>IF(OR($A14="",1&gt;Paramètres!$B$9),"",IF(Capacité!C14="",Personnes!$G14,IF(ISNUMBER(Capacité!C14),MAX(0,Capacité!C14),0)))</f>
        <v/>
      </c>
      <c r="D14" s="24" t="str">
        <f>IF(OR($A14="",2&gt;Paramètres!$B$9),"",IF(Capacité!D14="",Personnes!$G14,IF(ISNUMBER(Capacité!D14),MAX(0,Capacité!D14),0)))</f>
        <v/>
      </c>
      <c r="E14" s="24" t="str">
        <f>IF(OR($A14="",3&gt;Paramètres!$B$9),"",IF(Capacité!E14="",Personnes!$G14,IF(ISNUMBER(Capacité!E14),MAX(0,Capacité!E14),0)))</f>
        <v/>
      </c>
      <c r="F14" s="24" t="str">
        <f>IF(OR($A14="",4&gt;Paramètres!$B$9),"",IF(Capacité!F14="",Personnes!$G14,IF(ISNUMBER(Capacité!F14),MAX(0,Capacité!F14),0)))</f>
        <v/>
      </c>
      <c r="G14" s="24" t="str">
        <f>IF(OR($A14="",5&gt;Paramètres!$B$9),"",IF(Capacité!G14="",Personnes!$G14,IF(ISNUMBER(Capacité!G14),MAX(0,Capacité!G14),0)))</f>
        <v/>
      </c>
      <c r="H14" s="24" t="str">
        <f>IF(OR($A14="",6&gt;Paramètres!$B$9),"",IF(Capacité!H14="",Personnes!$G14,IF(ISNUMBER(Capacité!H14),MAX(0,Capacité!H14),0)))</f>
        <v/>
      </c>
      <c r="I14" s="24" t="str">
        <f>IF(OR($A14="",7&gt;Paramètres!$B$9),"",IF(Capacité!I14="",Personnes!$G14,IF(ISNUMBER(Capacité!I14),MAX(0,Capacité!I14),0)))</f>
        <v/>
      </c>
      <c r="J14" s="24" t="str">
        <f>IF(OR($A14="",8&gt;Paramètres!$B$9),"",IF(Capacité!J14="",Personnes!$G14,IF(ISNUMBER(Capacité!J14),MAX(0,Capacité!J14),0)))</f>
        <v/>
      </c>
      <c r="K14" s="24" t="str">
        <f>IF(OR($A14="",9&gt;Paramètres!$B$9),"",IF(Capacité!K14="",Personnes!$G14,IF(ISNUMBER(Capacité!K14),MAX(0,Capacité!K14),0)))</f>
        <v/>
      </c>
      <c r="L14" s="24" t="str">
        <f>IF(OR($A14="",10&gt;Paramètres!$B$9),"",IF(Capacité!L14="",Personnes!$G14,IF(ISNUMBER(Capacité!L14),MAX(0,Capacité!L14),0)))</f>
        <v/>
      </c>
      <c r="M14" s="24" t="str">
        <f>IF(OR($A14="",11&gt;Paramètres!$B$9),"",IF(Capacité!M14="",Personnes!$G14,IF(ISNUMBER(Capacité!M14),MAX(0,Capacité!M14),0)))</f>
        <v/>
      </c>
      <c r="N14" s="24" t="str">
        <f>IF(OR($A14="",12&gt;Paramètres!$B$9),"",IF(Capacité!N14="",Personnes!$G14,IF(ISNUMBER(Capacité!N14),MAX(0,Capacité!N14),0)))</f>
        <v/>
      </c>
      <c r="O14" s="24" t="str">
        <f>IF(OR($A14="",13&gt;Paramètres!$B$9),"",IF(Capacité!O14="",Personnes!$G14,IF(ISNUMBER(Capacité!O14),MAX(0,Capacité!O14),0)))</f>
        <v/>
      </c>
    </row>
    <row r="15" ht="28" customHeight="1">
      <c r="A15" s="27" t="str">
        <f>IF(Personnes!A15="","",Personnes!A15)</f>
        <v/>
      </c>
      <c r="B15" s="27" t="str">
        <f>IF(A15="","",Personnes!B15)</f>
        <v/>
      </c>
      <c r="C15" s="26" t="str">
        <f>IF(OR($A15="",1&gt;Paramètres!$B$9),"",IF(Capacité!C15="",Personnes!$G15,IF(ISNUMBER(Capacité!C15),MAX(0,Capacité!C15),0)))</f>
        <v/>
      </c>
      <c r="D15" s="26" t="str">
        <f>IF(OR($A15="",2&gt;Paramètres!$B$9),"",IF(Capacité!D15="",Personnes!$G15,IF(ISNUMBER(Capacité!D15),MAX(0,Capacité!D15),0)))</f>
        <v/>
      </c>
      <c r="E15" s="26" t="str">
        <f>IF(OR($A15="",3&gt;Paramètres!$B$9),"",IF(Capacité!E15="",Personnes!$G15,IF(ISNUMBER(Capacité!E15),MAX(0,Capacité!E15),0)))</f>
        <v/>
      </c>
      <c r="F15" s="26" t="str">
        <f>IF(OR($A15="",4&gt;Paramètres!$B$9),"",IF(Capacité!F15="",Personnes!$G15,IF(ISNUMBER(Capacité!F15),MAX(0,Capacité!F15),0)))</f>
        <v/>
      </c>
      <c r="G15" s="26" t="str">
        <f>IF(OR($A15="",5&gt;Paramètres!$B$9),"",IF(Capacité!G15="",Personnes!$G15,IF(ISNUMBER(Capacité!G15),MAX(0,Capacité!G15),0)))</f>
        <v/>
      </c>
      <c r="H15" s="26" t="str">
        <f>IF(OR($A15="",6&gt;Paramètres!$B$9),"",IF(Capacité!H15="",Personnes!$G15,IF(ISNUMBER(Capacité!H15),MAX(0,Capacité!H15),0)))</f>
        <v/>
      </c>
      <c r="I15" s="26" t="str">
        <f>IF(OR($A15="",7&gt;Paramètres!$B$9),"",IF(Capacité!I15="",Personnes!$G15,IF(ISNUMBER(Capacité!I15),MAX(0,Capacité!I15),0)))</f>
        <v/>
      </c>
      <c r="J15" s="26" t="str">
        <f>IF(OR($A15="",8&gt;Paramètres!$B$9),"",IF(Capacité!J15="",Personnes!$G15,IF(ISNUMBER(Capacité!J15),MAX(0,Capacité!J15),0)))</f>
        <v/>
      </c>
      <c r="K15" s="26" t="str">
        <f>IF(OR($A15="",9&gt;Paramètres!$B$9),"",IF(Capacité!K15="",Personnes!$G15,IF(ISNUMBER(Capacité!K15),MAX(0,Capacité!K15),0)))</f>
        <v/>
      </c>
      <c r="L15" s="26" t="str">
        <f>IF(OR($A15="",10&gt;Paramètres!$B$9),"",IF(Capacité!L15="",Personnes!$G15,IF(ISNUMBER(Capacité!L15),MAX(0,Capacité!L15),0)))</f>
        <v/>
      </c>
      <c r="M15" s="26" t="str">
        <f>IF(OR($A15="",11&gt;Paramètres!$B$9),"",IF(Capacité!M15="",Personnes!$G15,IF(ISNUMBER(Capacité!M15),MAX(0,Capacité!M15),0)))</f>
        <v/>
      </c>
      <c r="N15" s="26" t="str">
        <f>IF(OR($A15="",12&gt;Paramètres!$B$9),"",IF(Capacité!N15="",Personnes!$G15,IF(ISNUMBER(Capacité!N15),MAX(0,Capacité!N15),0)))</f>
        <v/>
      </c>
      <c r="O15" s="26" t="str">
        <f>IF(OR($A15="",13&gt;Paramètres!$B$9),"",IF(Capacité!O15="",Personnes!$G15,IF(ISNUMBER(Capacité!O15),MAX(0,Capacité!O15),0)))</f>
        <v/>
      </c>
    </row>
    <row r="16" ht="28" customHeight="1">
      <c r="A16" s="25" t="str">
        <f>IF(Personnes!A16="","",Personnes!A16)</f>
        <v/>
      </c>
      <c r="B16" s="25" t="str">
        <f>IF(A16="","",Personnes!B16)</f>
        <v/>
      </c>
      <c r="C16" s="24" t="str">
        <f>IF(OR($A16="",1&gt;Paramètres!$B$9),"",IF(Capacité!C16="",Personnes!$G16,IF(ISNUMBER(Capacité!C16),MAX(0,Capacité!C16),0)))</f>
        <v/>
      </c>
      <c r="D16" s="24" t="str">
        <f>IF(OR($A16="",2&gt;Paramètres!$B$9),"",IF(Capacité!D16="",Personnes!$G16,IF(ISNUMBER(Capacité!D16),MAX(0,Capacité!D16),0)))</f>
        <v/>
      </c>
      <c r="E16" s="24" t="str">
        <f>IF(OR($A16="",3&gt;Paramètres!$B$9),"",IF(Capacité!E16="",Personnes!$G16,IF(ISNUMBER(Capacité!E16),MAX(0,Capacité!E16),0)))</f>
        <v/>
      </c>
      <c r="F16" s="24" t="str">
        <f>IF(OR($A16="",4&gt;Paramètres!$B$9),"",IF(Capacité!F16="",Personnes!$G16,IF(ISNUMBER(Capacité!F16),MAX(0,Capacité!F16),0)))</f>
        <v/>
      </c>
      <c r="G16" s="24" t="str">
        <f>IF(OR($A16="",5&gt;Paramètres!$B$9),"",IF(Capacité!G16="",Personnes!$G16,IF(ISNUMBER(Capacité!G16),MAX(0,Capacité!G16),0)))</f>
        <v/>
      </c>
      <c r="H16" s="24" t="str">
        <f>IF(OR($A16="",6&gt;Paramètres!$B$9),"",IF(Capacité!H16="",Personnes!$G16,IF(ISNUMBER(Capacité!H16),MAX(0,Capacité!H16),0)))</f>
        <v/>
      </c>
      <c r="I16" s="24" t="str">
        <f>IF(OR($A16="",7&gt;Paramètres!$B$9),"",IF(Capacité!I16="",Personnes!$G16,IF(ISNUMBER(Capacité!I16),MAX(0,Capacité!I16),0)))</f>
        <v/>
      </c>
      <c r="J16" s="24" t="str">
        <f>IF(OR($A16="",8&gt;Paramètres!$B$9),"",IF(Capacité!J16="",Personnes!$G16,IF(ISNUMBER(Capacité!J16),MAX(0,Capacité!J16),0)))</f>
        <v/>
      </c>
      <c r="K16" s="24" t="str">
        <f>IF(OR($A16="",9&gt;Paramètres!$B$9),"",IF(Capacité!K16="",Personnes!$G16,IF(ISNUMBER(Capacité!K16),MAX(0,Capacité!K16),0)))</f>
        <v/>
      </c>
      <c r="L16" s="24" t="str">
        <f>IF(OR($A16="",10&gt;Paramètres!$B$9),"",IF(Capacité!L16="",Personnes!$G16,IF(ISNUMBER(Capacité!L16),MAX(0,Capacité!L16),0)))</f>
        <v/>
      </c>
      <c r="M16" s="24" t="str">
        <f>IF(OR($A16="",11&gt;Paramètres!$B$9),"",IF(Capacité!M16="",Personnes!$G16,IF(ISNUMBER(Capacité!M16),MAX(0,Capacité!M16),0)))</f>
        <v/>
      </c>
      <c r="N16" s="24" t="str">
        <f>IF(OR($A16="",12&gt;Paramètres!$B$9),"",IF(Capacité!N16="",Personnes!$G16,IF(ISNUMBER(Capacité!N16),MAX(0,Capacité!N16),0)))</f>
        <v/>
      </c>
      <c r="O16" s="24" t="str">
        <f>IF(OR($A16="",13&gt;Paramètres!$B$9),"",IF(Capacité!O16="",Personnes!$G16,IF(ISNUMBER(Capacité!O16),MAX(0,Capacité!O16),0)))</f>
        <v/>
      </c>
    </row>
    <row r="17" ht="28" customHeight="1">
      <c r="A17" s="27" t="str">
        <f>IF(Personnes!A17="","",Personnes!A17)</f>
        <v/>
      </c>
      <c r="B17" s="27" t="str">
        <f>IF(A17="","",Personnes!B17)</f>
        <v/>
      </c>
      <c r="C17" s="26" t="str">
        <f>IF(OR($A17="",1&gt;Paramètres!$B$9),"",IF(Capacité!C17="",Personnes!$G17,IF(ISNUMBER(Capacité!C17),MAX(0,Capacité!C17),0)))</f>
        <v/>
      </c>
      <c r="D17" s="26" t="str">
        <f>IF(OR($A17="",2&gt;Paramètres!$B$9),"",IF(Capacité!D17="",Personnes!$G17,IF(ISNUMBER(Capacité!D17),MAX(0,Capacité!D17),0)))</f>
        <v/>
      </c>
      <c r="E17" s="26" t="str">
        <f>IF(OR($A17="",3&gt;Paramètres!$B$9),"",IF(Capacité!E17="",Personnes!$G17,IF(ISNUMBER(Capacité!E17),MAX(0,Capacité!E17),0)))</f>
        <v/>
      </c>
      <c r="F17" s="26" t="str">
        <f>IF(OR($A17="",4&gt;Paramètres!$B$9),"",IF(Capacité!F17="",Personnes!$G17,IF(ISNUMBER(Capacité!F17),MAX(0,Capacité!F17),0)))</f>
        <v/>
      </c>
      <c r="G17" s="26" t="str">
        <f>IF(OR($A17="",5&gt;Paramètres!$B$9),"",IF(Capacité!G17="",Personnes!$G17,IF(ISNUMBER(Capacité!G17),MAX(0,Capacité!G17),0)))</f>
        <v/>
      </c>
      <c r="H17" s="26" t="str">
        <f>IF(OR($A17="",6&gt;Paramètres!$B$9),"",IF(Capacité!H17="",Personnes!$G17,IF(ISNUMBER(Capacité!H17),MAX(0,Capacité!H17),0)))</f>
        <v/>
      </c>
      <c r="I17" s="26" t="str">
        <f>IF(OR($A17="",7&gt;Paramètres!$B$9),"",IF(Capacité!I17="",Personnes!$G17,IF(ISNUMBER(Capacité!I17),MAX(0,Capacité!I17),0)))</f>
        <v/>
      </c>
      <c r="J17" s="26" t="str">
        <f>IF(OR($A17="",8&gt;Paramètres!$B$9),"",IF(Capacité!J17="",Personnes!$G17,IF(ISNUMBER(Capacité!J17),MAX(0,Capacité!J17),0)))</f>
        <v/>
      </c>
      <c r="K17" s="26" t="str">
        <f>IF(OR($A17="",9&gt;Paramètres!$B$9),"",IF(Capacité!K17="",Personnes!$G17,IF(ISNUMBER(Capacité!K17),MAX(0,Capacité!K17),0)))</f>
        <v/>
      </c>
      <c r="L17" s="26" t="str">
        <f>IF(OR($A17="",10&gt;Paramètres!$B$9),"",IF(Capacité!L17="",Personnes!$G17,IF(ISNUMBER(Capacité!L17),MAX(0,Capacité!L17),0)))</f>
        <v/>
      </c>
      <c r="M17" s="26" t="str">
        <f>IF(OR($A17="",11&gt;Paramètres!$B$9),"",IF(Capacité!M17="",Personnes!$G17,IF(ISNUMBER(Capacité!M17),MAX(0,Capacité!M17),0)))</f>
        <v/>
      </c>
      <c r="N17" s="26" t="str">
        <f>IF(OR($A17="",12&gt;Paramètres!$B$9),"",IF(Capacité!N17="",Personnes!$G17,IF(ISNUMBER(Capacité!N17),MAX(0,Capacité!N17),0)))</f>
        <v/>
      </c>
      <c r="O17" s="26" t="str">
        <f>IF(OR($A17="",13&gt;Paramètres!$B$9),"",IF(Capacité!O17="",Personnes!$G17,IF(ISNUMBER(Capacité!O17),MAX(0,Capacité!O17),0)))</f>
        <v/>
      </c>
    </row>
    <row r="18" ht="28" customHeight="1">
      <c r="A18" s="25" t="str">
        <f>IF(Personnes!A18="","",Personnes!A18)</f>
        <v/>
      </c>
      <c r="B18" s="25" t="str">
        <f>IF(A18="","",Personnes!B18)</f>
        <v/>
      </c>
      <c r="C18" s="24" t="str">
        <f>IF(OR($A18="",1&gt;Paramètres!$B$9),"",IF(Capacité!C18="",Personnes!$G18,IF(ISNUMBER(Capacité!C18),MAX(0,Capacité!C18),0)))</f>
        <v/>
      </c>
      <c r="D18" s="24" t="str">
        <f>IF(OR($A18="",2&gt;Paramètres!$B$9),"",IF(Capacité!D18="",Personnes!$G18,IF(ISNUMBER(Capacité!D18),MAX(0,Capacité!D18),0)))</f>
        <v/>
      </c>
      <c r="E18" s="24" t="str">
        <f>IF(OR($A18="",3&gt;Paramètres!$B$9),"",IF(Capacité!E18="",Personnes!$G18,IF(ISNUMBER(Capacité!E18),MAX(0,Capacité!E18),0)))</f>
        <v/>
      </c>
      <c r="F18" s="24" t="str">
        <f>IF(OR($A18="",4&gt;Paramètres!$B$9),"",IF(Capacité!F18="",Personnes!$G18,IF(ISNUMBER(Capacité!F18),MAX(0,Capacité!F18),0)))</f>
        <v/>
      </c>
      <c r="G18" s="24" t="str">
        <f>IF(OR($A18="",5&gt;Paramètres!$B$9),"",IF(Capacité!G18="",Personnes!$G18,IF(ISNUMBER(Capacité!G18),MAX(0,Capacité!G18),0)))</f>
        <v/>
      </c>
      <c r="H18" s="24" t="str">
        <f>IF(OR($A18="",6&gt;Paramètres!$B$9),"",IF(Capacité!H18="",Personnes!$G18,IF(ISNUMBER(Capacité!H18),MAX(0,Capacité!H18),0)))</f>
        <v/>
      </c>
      <c r="I18" s="24" t="str">
        <f>IF(OR($A18="",7&gt;Paramètres!$B$9),"",IF(Capacité!I18="",Personnes!$G18,IF(ISNUMBER(Capacité!I18),MAX(0,Capacité!I18),0)))</f>
        <v/>
      </c>
      <c r="J18" s="24" t="str">
        <f>IF(OR($A18="",8&gt;Paramètres!$B$9),"",IF(Capacité!J18="",Personnes!$G18,IF(ISNUMBER(Capacité!J18),MAX(0,Capacité!J18),0)))</f>
        <v/>
      </c>
      <c r="K18" s="24" t="str">
        <f>IF(OR($A18="",9&gt;Paramètres!$B$9),"",IF(Capacité!K18="",Personnes!$G18,IF(ISNUMBER(Capacité!K18),MAX(0,Capacité!K18),0)))</f>
        <v/>
      </c>
      <c r="L18" s="24" t="str">
        <f>IF(OR($A18="",10&gt;Paramètres!$B$9),"",IF(Capacité!L18="",Personnes!$G18,IF(ISNUMBER(Capacité!L18),MAX(0,Capacité!L18),0)))</f>
        <v/>
      </c>
      <c r="M18" s="24" t="str">
        <f>IF(OR($A18="",11&gt;Paramètres!$B$9),"",IF(Capacité!M18="",Personnes!$G18,IF(ISNUMBER(Capacité!M18),MAX(0,Capacité!M18),0)))</f>
        <v/>
      </c>
      <c r="N18" s="24" t="str">
        <f>IF(OR($A18="",12&gt;Paramètres!$B$9),"",IF(Capacité!N18="",Personnes!$G18,IF(ISNUMBER(Capacité!N18),MAX(0,Capacité!N18),0)))</f>
        <v/>
      </c>
      <c r="O18" s="24" t="str">
        <f>IF(OR($A18="",13&gt;Paramètres!$B$9),"",IF(Capacité!O18="",Personnes!$G18,IF(ISNUMBER(Capacité!O18),MAX(0,Capacité!O18),0)))</f>
        <v/>
      </c>
    </row>
    <row r="19" ht="28" customHeight="1">
      <c r="A19" s="27" t="str">
        <f>IF(Personnes!A19="","",Personnes!A19)</f>
        <v/>
      </c>
      <c r="B19" s="27" t="str">
        <f>IF(A19="","",Personnes!B19)</f>
        <v/>
      </c>
      <c r="C19" s="26" t="str">
        <f>IF(OR($A19="",1&gt;Paramètres!$B$9),"",IF(Capacité!C19="",Personnes!$G19,IF(ISNUMBER(Capacité!C19),MAX(0,Capacité!C19),0)))</f>
        <v/>
      </c>
      <c r="D19" s="26" t="str">
        <f>IF(OR($A19="",2&gt;Paramètres!$B$9),"",IF(Capacité!D19="",Personnes!$G19,IF(ISNUMBER(Capacité!D19),MAX(0,Capacité!D19),0)))</f>
        <v/>
      </c>
      <c r="E19" s="26" t="str">
        <f>IF(OR($A19="",3&gt;Paramètres!$B$9),"",IF(Capacité!E19="",Personnes!$G19,IF(ISNUMBER(Capacité!E19),MAX(0,Capacité!E19),0)))</f>
        <v/>
      </c>
      <c r="F19" s="26" t="str">
        <f>IF(OR($A19="",4&gt;Paramètres!$B$9),"",IF(Capacité!F19="",Personnes!$G19,IF(ISNUMBER(Capacité!F19),MAX(0,Capacité!F19),0)))</f>
        <v/>
      </c>
      <c r="G19" s="26" t="str">
        <f>IF(OR($A19="",5&gt;Paramètres!$B$9),"",IF(Capacité!G19="",Personnes!$G19,IF(ISNUMBER(Capacité!G19),MAX(0,Capacité!G19),0)))</f>
        <v/>
      </c>
      <c r="H19" s="26" t="str">
        <f>IF(OR($A19="",6&gt;Paramètres!$B$9),"",IF(Capacité!H19="",Personnes!$G19,IF(ISNUMBER(Capacité!H19),MAX(0,Capacité!H19),0)))</f>
        <v/>
      </c>
      <c r="I19" s="26" t="str">
        <f>IF(OR($A19="",7&gt;Paramètres!$B$9),"",IF(Capacité!I19="",Personnes!$G19,IF(ISNUMBER(Capacité!I19),MAX(0,Capacité!I19),0)))</f>
        <v/>
      </c>
      <c r="J19" s="26" t="str">
        <f>IF(OR($A19="",8&gt;Paramètres!$B$9),"",IF(Capacité!J19="",Personnes!$G19,IF(ISNUMBER(Capacité!J19),MAX(0,Capacité!J19),0)))</f>
        <v/>
      </c>
      <c r="K19" s="26" t="str">
        <f>IF(OR($A19="",9&gt;Paramètres!$B$9),"",IF(Capacité!K19="",Personnes!$G19,IF(ISNUMBER(Capacité!K19),MAX(0,Capacité!K19),0)))</f>
        <v/>
      </c>
      <c r="L19" s="26" t="str">
        <f>IF(OR($A19="",10&gt;Paramètres!$B$9),"",IF(Capacité!L19="",Personnes!$G19,IF(ISNUMBER(Capacité!L19),MAX(0,Capacité!L19),0)))</f>
        <v/>
      </c>
      <c r="M19" s="26" t="str">
        <f>IF(OR($A19="",11&gt;Paramètres!$B$9),"",IF(Capacité!M19="",Personnes!$G19,IF(ISNUMBER(Capacité!M19),MAX(0,Capacité!M19),0)))</f>
        <v/>
      </c>
      <c r="N19" s="26" t="str">
        <f>IF(OR($A19="",12&gt;Paramètres!$B$9),"",IF(Capacité!N19="",Personnes!$G19,IF(ISNUMBER(Capacité!N19),MAX(0,Capacité!N19),0)))</f>
        <v/>
      </c>
      <c r="O19" s="26" t="str">
        <f>IF(OR($A19="",13&gt;Paramètres!$B$9),"",IF(Capacité!O19="",Personnes!$G19,IF(ISNUMBER(Capacité!O19),MAX(0,Capacité!O19),0)))</f>
        <v/>
      </c>
    </row>
    <row r="20" ht="28" customHeight="1">
      <c r="A20" s="25" t="str">
        <f>IF(Personnes!A20="","",Personnes!A20)</f>
        <v/>
      </c>
      <c r="B20" s="25" t="str">
        <f>IF(A20="","",Personnes!B20)</f>
        <v/>
      </c>
      <c r="C20" s="24" t="str">
        <f>IF(OR($A20="",1&gt;Paramètres!$B$9),"",IF(Capacité!C20="",Personnes!$G20,IF(ISNUMBER(Capacité!C20),MAX(0,Capacité!C20),0)))</f>
        <v/>
      </c>
      <c r="D20" s="24" t="str">
        <f>IF(OR($A20="",2&gt;Paramètres!$B$9),"",IF(Capacité!D20="",Personnes!$G20,IF(ISNUMBER(Capacité!D20),MAX(0,Capacité!D20),0)))</f>
        <v/>
      </c>
      <c r="E20" s="24" t="str">
        <f>IF(OR($A20="",3&gt;Paramètres!$B$9),"",IF(Capacité!E20="",Personnes!$G20,IF(ISNUMBER(Capacité!E20),MAX(0,Capacité!E20),0)))</f>
        <v/>
      </c>
      <c r="F20" s="24" t="str">
        <f>IF(OR($A20="",4&gt;Paramètres!$B$9),"",IF(Capacité!F20="",Personnes!$G20,IF(ISNUMBER(Capacité!F20),MAX(0,Capacité!F20),0)))</f>
        <v/>
      </c>
      <c r="G20" s="24" t="str">
        <f>IF(OR($A20="",5&gt;Paramètres!$B$9),"",IF(Capacité!G20="",Personnes!$G20,IF(ISNUMBER(Capacité!G20),MAX(0,Capacité!G20),0)))</f>
        <v/>
      </c>
      <c r="H20" s="24" t="str">
        <f>IF(OR($A20="",6&gt;Paramètres!$B$9),"",IF(Capacité!H20="",Personnes!$G20,IF(ISNUMBER(Capacité!H20),MAX(0,Capacité!H20),0)))</f>
        <v/>
      </c>
      <c r="I20" s="24" t="str">
        <f>IF(OR($A20="",7&gt;Paramètres!$B$9),"",IF(Capacité!I20="",Personnes!$G20,IF(ISNUMBER(Capacité!I20),MAX(0,Capacité!I20),0)))</f>
        <v/>
      </c>
      <c r="J20" s="24" t="str">
        <f>IF(OR($A20="",8&gt;Paramètres!$B$9),"",IF(Capacité!J20="",Personnes!$G20,IF(ISNUMBER(Capacité!J20),MAX(0,Capacité!J20),0)))</f>
        <v/>
      </c>
      <c r="K20" s="24" t="str">
        <f>IF(OR($A20="",9&gt;Paramètres!$B$9),"",IF(Capacité!K20="",Personnes!$G20,IF(ISNUMBER(Capacité!K20),MAX(0,Capacité!K20),0)))</f>
        <v/>
      </c>
      <c r="L20" s="24" t="str">
        <f>IF(OR($A20="",10&gt;Paramètres!$B$9),"",IF(Capacité!L20="",Personnes!$G20,IF(ISNUMBER(Capacité!L20),MAX(0,Capacité!L20),0)))</f>
        <v/>
      </c>
      <c r="M20" s="24" t="str">
        <f>IF(OR($A20="",11&gt;Paramètres!$B$9),"",IF(Capacité!M20="",Personnes!$G20,IF(ISNUMBER(Capacité!M20),MAX(0,Capacité!M20),0)))</f>
        <v/>
      </c>
      <c r="N20" s="24" t="str">
        <f>IF(OR($A20="",12&gt;Paramètres!$B$9),"",IF(Capacité!N20="",Personnes!$G20,IF(ISNUMBER(Capacité!N20),MAX(0,Capacité!N20),0)))</f>
        <v/>
      </c>
      <c r="O20" s="24" t="str">
        <f>IF(OR($A20="",13&gt;Paramètres!$B$9),"",IF(Capacité!O20="",Personnes!$G20,IF(ISNUMBER(Capacité!O20),MAX(0,Capacité!O20),0)))</f>
        <v/>
      </c>
    </row>
    <row r="21" ht="28" customHeight="1">
      <c r="A21" s="27" t="str">
        <f>IF(Personnes!A21="","",Personnes!A21)</f>
        <v/>
      </c>
      <c r="B21" s="27" t="str">
        <f>IF(A21="","",Personnes!B21)</f>
        <v/>
      </c>
      <c r="C21" s="26" t="str">
        <f>IF(OR($A21="",1&gt;Paramètres!$B$9),"",IF(Capacité!C21="",Personnes!$G21,IF(ISNUMBER(Capacité!C21),MAX(0,Capacité!C21),0)))</f>
        <v/>
      </c>
      <c r="D21" s="26" t="str">
        <f>IF(OR($A21="",2&gt;Paramètres!$B$9),"",IF(Capacité!D21="",Personnes!$G21,IF(ISNUMBER(Capacité!D21),MAX(0,Capacité!D21),0)))</f>
        <v/>
      </c>
      <c r="E21" s="26" t="str">
        <f>IF(OR($A21="",3&gt;Paramètres!$B$9),"",IF(Capacité!E21="",Personnes!$G21,IF(ISNUMBER(Capacité!E21),MAX(0,Capacité!E21),0)))</f>
        <v/>
      </c>
      <c r="F21" s="26" t="str">
        <f>IF(OR($A21="",4&gt;Paramètres!$B$9),"",IF(Capacité!F21="",Personnes!$G21,IF(ISNUMBER(Capacité!F21),MAX(0,Capacité!F21),0)))</f>
        <v/>
      </c>
      <c r="G21" s="26" t="str">
        <f>IF(OR($A21="",5&gt;Paramètres!$B$9),"",IF(Capacité!G21="",Personnes!$G21,IF(ISNUMBER(Capacité!G21),MAX(0,Capacité!G21),0)))</f>
        <v/>
      </c>
      <c r="H21" s="26" t="str">
        <f>IF(OR($A21="",6&gt;Paramètres!$B$9),"",IF(Capacité!H21="",Personnes!$G21,IF(ISNUMBER(Capacité!H21),MAX(0,Capacité!H21),0)))</f>
        <v/>
      </c>
      <c r="I21" s="26" t="str">
        <f>IF(OR($A21="",7&gt;Paramètres!$B$9),"",IF(Capacité!I21="",Personnes!$G21,IF(ISNUMBER(Capacité!I21),MAX(0,Capacité!I21),0)))</f>
        <v/>
      </c>
      <c r="J21" s="26" t="str">
        <f>IF(OR($A21="",8&gt;Paramètres!$B$9),"",IF(Capacité!J21="",Personnes!$G21,IF(ISNUMBER(Capacité!J21),MAX(0,Capacité!J21),0)))</f>
        <v/>
      </c>
      <c r="K21" s="26" t="str">
        <f>IF(OR($A21="",9&gt;Paramètres!$B$9),"",IF(Capacité!K21="",Personnes!$G21,IF(ISNUMBER(Capacité!K21),MAX(0,Capacité!K21),0)))</f>
        <v/>
      </c>
      <c r="L21" s="26" t="str">
        <f>IF(OR($A21="",10&gt;Paramètres!$B$9),"",IF(Capacité!L21="",Personnes!$G21,IF(ISNUMBER(Capacité!L21),MAX(0,Capacité!L21),0)))</f>
        <v/>
      </c>
      <c r="M21" s="26" t="str">
        <f>IF(OR($A21="",11&gt;Paramètres!$B$9),"",IF(Capacité!M21="",Personnes!$G21,IF(ISNUMBER(Capacité!M21),MAX(0,Capacité!M21),0)))</f>
        <v/>
      </c>
      <c r="N21" s="26" t="str">
        <f>IF(OR($A21="",12&gt;Paramètres!$B$9),"",IF(Capacité!N21="",Personnes!$G21,IF(ISNUMBER(Capacité!N21),MAX(0,Capacité!N21),0)))</f>
        <v/>
      </c>
      <c r="O21" s="26" t="str">
        <f>IF(OR($A21="",13&gt;Paramètres!$B$9),"",IF(Capacité!O21="",Personnes!$G21,IF(ISNUMBER(Capacité!O21),MAX(0,Capacité!O21),0)))</f>
        <v/>
      </c>
    </row>
    <row r="22" ht="28" customHeight="1">
      <c r="A22" s="25" t="str">
        <f>IF(Personnes!A22="","",Personnes!A22)</f>
        <v/>
      </c>
      <c r="B22" s="25" t="str">
        <f>IF(A22="","",Personnes!B22)</f>
        <v/>
      </c>
      <c r="C22" s="24" t="str">
        <f>IF(OR($A22="",1&gt;Paramètres!$B$9),"",IF(Capacité!C22="",Personnes!$G22,IF(ISNUMBER(Capacité!C22),MAX(0,Capacité!C22),0)))</f>
        <v/>
      </c>
      <c r="D22" s="24" t="str">
        <f>IF(OR($A22="",2&gt;Paramètres!$B$9),"",IF(Capacité!D22="",Personnes!$G22,IF(ISNUMBER(Capacité!D22),MAX(0,Capacité!D22),0)))</f>
        <v/>
      </c>
      <c r="E22" s="24" t="str">
        <f>IF(OR($A22="",3&gt;Paramètres!$B$9),"",IF(Capacité!E22="",Personnes!$G22,IF(ISNUMBER(Capacité!E22),MAX(0,Capacité!E22),0)))</f>
        <v/>
      </c>
      <c r="F22" s="24" t="str">
        <f>IF(OR($A22="",4&gt;Paramètres!$B$9),"",IF(Capacité!F22="",Personnes!$G22,IF(ISNUMBER(Capacité!F22),MAX(0,Capacité!F22),0)))</f>
        <v/>
      </c>
      <c r="G22" s="24" t="str">
        <f>IF(OR($A22="",5&gt;Paramètres!$B$9),"",IF(Capacité!G22="",Personnes!$G22,IF(ISNUMBER(Capacité!G22),MAX(0,Capacité!G22),0)))</f>
        <v/>
      </c>
      <c r="H22" s="24" t="str">
        <f>IF(OR($A22="",6&gt;Paramètres!$B$9),"",IF(Capacité!H22="",Personnes!$G22,IF(ISNUMBER(Capacité!H22),MAX(0,Capacité!H22),0)))</f>
        <v/>
      </c>
      <c r="I22" s="24" t="str">
        <f>IF(OR($A22="",7&gt;Paramètres!$B$9),"",IF(Capacité!I22="",Personnes!$G22,IF(ISNUMBER(Capacité!I22),MAX(0,Capacité!I22),0)))</f>
        <v/>
      </c>
      <c r="J22" s="24" t="str">
        <f>IF(OR($A22="",8&gt;Paramètres!$B$9),"",IF(Capacité!J22="",Personnes!$G22,IF(ISNUMBER(Capacité!J22),MAX(0,Capacité!J22),0)))</f>
        <v/>
      </c>
      <c r="K22" s="24" t="str">
        <f>IF(OR($A22="",9&gt;Paramètres!$B$9),"",IF(Capacité!K22="",Personnes!$G22,IF(ISNUMBER(Capacité!K22),MAX(0,Capacité!K22),0)))</f>
        <v/>
      </c>
      <c r="L22" s="24" t="str">
        <f>IF(OR($A22="",10&gt;Paramètres!$B$9),"",IF(Capacité!L22="",Personnes!$G22,IF(ISNUMBER(Capacité!L22),MAX(0,Capacité!L22),0)))</f>
        <v/>
      </c>
      <c r="M22" s="24" t="str">
        <f>IF(OR($A22="",11&gt;Paramètres!$B$9),"",IF(Capacité!M22="",Personnes!$G22,IF(ISNUMBER(Capacité!M22),MAX(0,Capacité!M22),0)))</f>
        <v/>
      </c>
      <c r="N22" s="24" t="str">
        <f>IF(OR($A22="",12&gt;Paramètres!$B$9),"",IF(Capacité!N22="",Personnes!$G22,IF(ISNUMBER(Capacité!N22),MAX(0,Capacité!N22),0)))</f>
        <v/>
      </c>
      <c r="O22" s="24" t="str">
        <f>IF(OR($A22="",13&gt;Paramètres!$B$9),"",IF(Capacité!O22="",Personnes!$G22,IF(ISNUMBER(Capacité!O22),MAX(0,Capacité!O22),0)))</f>
        <v/>
      </c>
    </row>
    <row r="23" ht="28" customHeight="1">
      <c r="A23" s="27" t="str">
        <f>IF(Personnes!A23="","",Personnes!A23)</f>
        <v/>
      </c>
      <c r="B23" s="27" t="str">
        <f>IF(A23="","",Personnes!B23)</f>
        <v/>
      </c>
      <c r="C23" s="26" t="str">
        <f>IF(OR($A23="",1&gt;Paramètres!$B$9),"",IF(Capacité!C23="",Personnes!$G23,IF(ISNUMBER(Capacité!C23),MAX(0,Capacité!C23),0)))</f>
        <v/>
      </c>
      <c r="D23" s="26" t="str">
        <f>IF(OR($A23="",2&gt;Paramètres!$B$9),"",IF(Capacité!D23="",Personnes!$G23,IF(ISNUMBER(Capacité!D23),MAX(0,Capacité!D23),0)))</f>
        <v/>
      </c>
      <c r="E23" s="26" t="str">
        <f>IF(OR($A23="",3&gt;Paramètres!$B$9),"",IF(Capacité!E23="",Personnes!$G23,IF(ISNUMBER(Capacité!E23),MAX(0,Capacité!E23),0)))</f>
        <v/>
      </c>
      <c r="F23" s="26" t="str">
        <f>IF(OR($A23="",4&gt;Paramètres!$B$9),"",IF(Capacité!F23="",Personnes!$G23,IF(ISNUMBER(Capacité!F23),MAX(0,Capacité!F23),0)))</f>
        <v/>
      </c>
      <c r="G23" s="26" t="str">
        <f>IF(OR($A23="",5&gt;Paramètres!$B$9),"",IF(Capacité!G23="",Personnes!$G23,IF(ISNUMBER(Capacité!G23),MAX(0,Capacité!G23),0)))</f>
        <v/>
      </c>
      <c r="H23" s="26" t="str">
        <f>IF(OR($A23="",6&gt;Paramètres!$B$9),"",IF(Capacité!H23="",Personnes!$G23,IF(ISNUMBER(Capacité!H23),MAX(0,Capacité!H23),0)))</f>
        <v/>
      </c>
      <c r="I23" s="26" t="str">
        <f>IF(OR($A23="",7&gt;Paramètres!$B$9),"",IF(Capacité!I23="",Personnes!$G23,IF(ISNUMBER(Capacité!I23),MAX(0,Capacité!I23),0)))</f>
        <v/>
      </c>
      <c r="J23" s="26" t="str">
        <f>IF(OR($A23="",8&gt;Paramètres!$B$9),"",IF(Capacité!J23="",Personnes!$G23,IF(ISNUMBER(Capacité!J23),MAX(0,Capacité!J23),0)))</f>
        <v/>
      </c>
      <c r="K23" s="26" t="str">
        <f>IF(OR($A23="",9&gt;Paramètres!$B$9),"",IF(Capacité!K23="",Personnes!$G23,IF(ISNUMBER(Capacité!K23),MAX(0,Capacité!K23),0)))</f>
        <v/>
      </c>
      <c r="L23" s="26" t="str">
        <f>IF(OR($A23="",10&gt;Paramètres!$B$9),"",IF(Capacité!L23="",Personnes!$G23,IF(ISNUMBER(Capacité!L23),MAX(0,Capacité!L23),0)))</f>
        <v/>
      </c>
      <c r="M23" s="26" t="str">
        <f>IF(OR($A23="",11&gt;Paramètres!$B$9),"",IF(Capacité!M23="",Personnes!$G23,IF(ISNUMBER(Capacité!M23),MAX(0,Capacité!M23),0)))</f>
        <v/>
      </c>
      <c r="N23" s="26" t="str">
        <f>IF(OR($A23="",12&gt;Paramètres!$B$9),"",IF(Capacité!N23="",Personnes!$G23,IF(ISNUMBER(Capacité!N23),MAX(0,Capacité!N23),0)))</f>
        <v/>
      </c>
      <c r="O23" s="26" t="str">
        <f>IF(OR($A23="",13&gt;Paramètres!$B$9),"",IF(Capacité!O23="",Personnes!$G23,IF(ISNUMBER(Capacité!O23),MAX(0,Capacité!O23),0)))</f>
        <v/>
      </c>
    </row>
    <row r="24" ht="28" customHeight="1">
      <c r="A24" s="25" t="str">
        <f>IF(Personnes!A24="","",Personnes!A24)</f>
        <v/>
      </c>
      <c r="B24" s="25" t="str">
        <f>IF(A24="","",Personnes!B24)</f>
        <v/>
      </c>
      <c r="C24" s="24" t="str">
        <f>IF(OR($A24="",1&gt;Paramètres!$B$9),"",IF(Capacité!C24="",Personnes!$G24,IF(ISNUMBER(Capacité!C24),MAX(0,Capacité!C24),0)))</f>
        <v/>
      </c>
      <c r="D24" s="24" t="str">
        <f>IF(OR($A24="",2&gt;Paramètres!$B$9),"",IF(Capacité!D24="",Personnes!$G24,IF(ISNUMBER(Capacité!D24),MAX(0,Capacité!D24),0)))</f>
        <v/>
      </c>
      <c r="E24" s="24" t="str">
        <f>IF(OR($A24="",3&gt;Paramètres!$B$9),"",IF(Capacité!E24="",Personnes!$G24,IF(ISNUMBER(Capacité!E24),MAX(0,Capacité!E24),0)))</f>
        <v/>
      </c>
      <c r="F24" s="24" t="str">
        <f>IF(OR($A24="",4&gt;Paramètres!$B$9),"",IF(Capacité!F24="",Personnes!$G24,IF(ISNUMBER(Capacité!F24),MAX(0,Capacité!F24),0)))</f>
        <v/>
      </c>
      <c r="G24" s="24" t="str">
        <f>IF(OR($A24="",5&gt;Paramètres!$B$9),"",IF(Capacité!G24="",Personnes!$G24,IF(ISNUMBER(Capacité!G24),MAX(0,Capacité!G24),0)))</f>
        <v/>
      </c>
      <c r="H24" s="24" t="str">
        <f>IF(OR($A24="",6&gt;Paramètres!$B$9),"",IF(Capacité!H24="",Personnes!$G24,IF(ISNUMBER(Capacité!H24),MAX(0,Capacité!H24),0)))</f>
        <v/>
      </c>
      <c r="I24" s="24" t="str">
        <f>IF(OR($A24="",7&gt;Paramètres!$B$9),"",IF(Capacité!I24="",Personnes!$G24,IF(ISNUMBER(Capacité!I24),MAX(0,Capacité!I24),0)))</f>
        <v/>
      </c>
      <c r="J24" s="24" t="str">
        <f>IF(OR($A24="",8&gt;Paramètres!$B$9),"",IF(Capacité!J24="",Personnes!$G24,IF(ISNUMBER(Capacité!J24),MAX(0,Capacité!J24),0)))</f>
        <v/>
      </c>
      <c r="K24" s="24" t="str">
        <f>IF(OR($A24="",9&gt;Paramètres!$B$9),"",IF(Capacité!K24="",Personnes!$G24,IF(ISNUMBER(Capacité!K24),MAX(0,Capacité!K24),0)))</f>
        <v/>
      </c>
      <c r="L24" s="24" t="str">
        <f>IF(OR($A24="",10&gt;Paramètres!$B$9),"",IF(Capacité!L24="",Personnes!$G24,IF(ISNUMBER(Capacité!L24),MAX(0,Capacité!L24),0)))</f>
        <v/>
      </c>
      <c r="M24" s="24" t="str">
        <f>IF(OR($A24="",11&gt;Paramètres!$B$9),"",IF(Capacité!M24="",Personnes!$G24,IF(ISNUMBER(Capacité!M24),MAX(0,Capacité!M24),0)))</f>
        <v/>
      </c>
      <c r="N24" s="24" t="str">
        <f>IF(OR($A24="",12&gt;Paramètres!$B$9),"",IF(Capacité!N24="",Personnes!$G24,IF(ISNUMBER(Capacité!N24),MAX(0,Capacité!N24),0)))</f>
        <v/>
      </c>
      <c r="O24" s="24" t="str">
        <f>IF(OR($A24="",13&gt;Paramètres!$B$9),"",IF(Capacité!O24="",Personnes!$G24,IF(ISNUMBER(Capacité!O24),MAX(0,Capacité!O24),0)))</f>
        <v/>
      </c>
    </row>
    <row r="25" ht="28" customHeight="1">
      <c r="A25" s="27" t="str">
        <f>IF(Personnes!A25="","",Personnes!A25)</f>
        <v/>
      </c>
      <c r="B25" s="27" t="str">
        <f>IF(A25="","",Personnes!B25)</f>
        <v/>
      </c>
      <c r="C25" s="26" t="str">
        <f>IF(OR($A25="",1&gt;Paramètres!$B$9),"",IF(Capacité!C25="",Personnes!$G25,IF(ISNUMBER(Capacité!C25),MAX(0,Capacité!C25),0)))</f>
        <v/>
      </c>
      <c r="D25" s="26" t="str">
        <f>IF(OR($A25="",2&gt;Paramètres!$B$9),"",IF(Capacité!D25="",Personnes!$G25,IF(ISNUMBER(Capacité!D25),MAX(0,Capacité!D25),0)))</f>
        <v/>
      </c>
      <c r="E25" s="26" t="str">
        <f>IF(OR($A25="",3&gt;Paramètres!$B$9),"",IF(Capacité!E25="",Personnes!$G25,IF(ISNUMBER(Capacité!E25),MAX(0,Capacité!E25),0)))</f>
        <v/>
      </c>
      <c r="F25" s="26" t="str">
        <f>IF(OR($A25="",4&gt;Paramètres!$B$9),"",IF(Capacité!F25="",Personnes!$G25,IF(ISNUMBER(Capacité!F25),MAX(0,Capacité!F25),0)))</f>
        <v/>
      </c>
      <c r="G25" s="26" t="str">
        <f>IF(OR($A25="",5&gt;Paramètres!$B$9),"",IF(Capacité!G25="",Personnes!$G25,IF(ISNUMBER(Capacité!G25),MAX(0,Capacité!G25),0)))</f>
        <v/>
      </c>
      <c r="H25" s="26" t="str">
        <f>IF(OR($A25="",6&gt;Paramètres!$B$9),"",IF(Capacité!H25="",Personnes!$G25,IF(ISNUMBER(Capacité!H25),MAX(0,Capacité!H25),0)))</f>
        <v/>
      </c>
      <c r="I25" s="26" t="str">
        <f>IF(OR($A25="",7&gt;Paramètres!$B$9),"",IF(Capacité!I25="",Personnes!$G25,IF(ISNUMBER(Capacité!I25),MAX(0,Capacité!I25),0)))</f>
        <v/>
      </c>
      <c r="J25" s="26" t="str">
        <f>IF(OR($A25="",8&gt;Paramètres!$B$9),"",IF(Capacité!J25="",Personnes!$G25,IF(ISNUMBER(Capacité!J25),MAX(0,Capacité!J25),0)))</f>
        <v/>
      </c>
      <c r="K25" s="26" t="str">
        <f>IF(OR($A25="",9&gt;Paramètres!$B$9),"",IF(Capacité!K25="",Personnes!$G25,IF(ISNUMBER(Capacité!K25),MAX(0,Capacité!K25),0)))</f>
        <v/>
      </c>
      <c r="L25" s="26" t="str">
        <f>IF(OR($A25="",10&gt;Paramètres!$B$9),"",IF(Capacité!L25="",Personnes!$G25,IF(ISNUMBER(Capacité!L25),MAX(0,Capacité!L25),0)))</f>
        <v/>
      </c>
      <c r="M25" s="26" t="str">
        <f>IF(OR($A25="",11&gt;Paramètres!$B$9),"",IF(Capacité!M25="",Personnes!$G25,IF(ISNUMBER(Capacité!M25),MAX(0,Capacité!M25),0)))</f>
        <v/>
      </c>
      <c r="N25" s="26" t="str">
        <f>IF(OR($A25="",12&gt;Paramètres!$B$9),"",IF(Capacité!N25="",Personnes!$G25,IF(ISNUMBER(Capacité!N25),MAX(0,Capacité!N25),0)))</f>
        <v/>
      </c>
      <c r="O25" s="26" t="str">
        <f>IF(OR($A25="",13&gt;Paramètres!$B$9),"",IF(Capacité!O25="",Personnes!$G25,IF(ISNUMBER(Capacité!O25),MAX(0,Capacité!O25),0)))</f>
        <v/>
      </c>
    </row>
    <row r="26" ht="28" customHeight="1">
      <c r="A26" s="25" t="str">
        <f>IF(Personnes!A26="","",Personnes!A26)</f>
        <v/>
      </c>
      <c r="B26" s="25" t="str">
        <f>IF(A26="","",Personnes!B26)</f>
        <v/>
      </c>
      <c r="C26" s="24" t="str">
        <f>IF(OR($A26="",1&gt;Paramètres!$B$9),"",IF(Capacité!C26="",Personnes!$G26,IF(ISNUMBER(Capacité!C26),MAX(0,Capacité!C26),0)))</f>
        <v/>
      </c>
      <c r="D26" s="24" t="str">
        <f>IF(OR($A26="",2&gt;Paramètres!$B$9),"",IF(Capacité!D26="",Personnes!$G26,IF(ISNUMBER(Capacité!D26),MAX(0,Capacité!D26),0)))</f>
        <v/>
      </c>
      <c r="E26" s="24" t="str">
        <f>IF(OR($A26="",3&gt;Paramètres!$B$9),"",IF(Capacité!E26="",Personnes!$G26,IF(ISNUMBER(Capacité!E26),MAX(0,Capacité!E26),0)))</f>
        <v/>
      </c>
      <c r="F26" s="24" t="str">
        <f>IF(OR($A26="",4&gt;Paramètres!$B$9),"",IF(Capacité!F26="",Personnes!$G26,IF(ISNUMBER(Capacité!F26),MAX(0,Capacité!F26),0)))</f>
        <v/>
      </c>
      <c r="G26" s="24" t="str">
        <f>IF(OR($A26="",5&gt;Paramètres!$B$9),"",IF(Capacité!G26="",Personnes!$G26,IF(ISNUMBER(Capacité!G26),MAX(0,Capacité!G26),0)))</f>
        <v/>
      </c>
      <c r="H26" s="24" t="str">
        <f>IF(OR($A26="",6&gt;Paramètres!$B$9),"",IF(Capacité!H26="",Personnes!$G26,IF(ISNUMBER(Capacité!H26),MAX(0,Capacité!H26),0)))</f>
        <v/>
      </c>
      <c r="I26" s="24" t="str">
        <f>IF(OR($A26="",7&gt;Paramètres!$B$9),"",IF(Capacité!I26="",Personnes!$G26,IF(ISNUMBER(Capacité!I26),MAX(0,Capacité!I26),0)))</f>
        <v/>
      </c>
      <c r="J26" s="24" t="str">
        <f>IF(OR($A26="",8&gt;Paramètres!$B$9),"",IF(Capacité!J26="",Personnes!$G26,IF(ISNUMBER(Capacité!J26),MAX(0,Capacité!J26),0)))</f>
        <v/>
      </c>
      <c r="K26" s="24" t="str">
        <f>IF(OR($A26="",9&gt;Paramètres!$B$9),"",IF(Capacité!K26="",Personnes!$G26,IF(ISNUMBER(Capacité!K26),MAX(0,Capacité!K26),0)))</f>
        <v/>
      </c>
      <c r="L26" s="24" t="str">
        <f>IF(OR($A26="",10&gt;Paramètres!$B$9),"",IF(Capacité!L26="",Personnes!$G26,IF(ISNUMBER(Capacité!L26),MAX(0,Capacité!L26),0)))</f>
        <v/>
      </c>
      <c r="M26" s="24" t="str">
        <f>IF(OR($A26="",11&gt;Paramètres!$B$9),"",IF(Capacité!M26="",Personnes!$G26,IF(ISNUMBER(Capacité!M26),MAX(0,Capacité!M26),0)))</f>
        <v/>
      </c>
      <c r="N26" s="24" t="str">
        <f>IF(OR($A26="",12&gt;Paramètres!$B$9),"",IF(Capacité!N26="",Personnes!$G26,IF(ISNUMBER(Capacité!N26),MAX(0,Capacité!N26),0)))</f>
        <v/>
      </c>
      <c r="O26" s="24" t="str">
        <f>IF(OR($A26="",13&gt;Paramètres!$B$9),"",IF(Capacité!O26="",Personnes!$G26,IF(ISNUMBER(Capacité!O26),MAX(0,Capacité!O26),0)))</f>
        <v/>
      </c>
    </row>
    <row r="27" ht="28" customHeight="1">
      <c r="A27" s="27" t="str">
        <f>IF(Personnes!A27="","",Personnes!A27)</f>
        <v/>
      </c>
      <c r="B27" s="27" t="str">
        <f>IF(A27="","",Personnes!B27)</f>
        <v/>
      </c>
      <c r="C27" s="26" t="str">
        <f>IF(OR($A27="",1&gt;Paramètres!$B$9),"",IF(Capacité!C27="",Personnes!$G27,IF(ISNUMBER(Capacité!C27),MAX(0,Capacité!C27),0)))</f>
        <v/>
      </c>
      <c r="D27" s="26" t="str">
        <f>IF(OR($A27="",2&gt;Paramètres!$B$9),"",IF(Capacité!D27="",Personnes!$G27,IF(ISNUMBER(Capacité!D27),MAX(0,Capacité!D27),0)))</f>
        <v/>
      </c>
      <c r="E27" s="26" t="str">
        <f>IF(OR($A27="",3&gt;Paramètres!$B$9),"",IF(Capacité!E27="",Personnes!$G27,IF(ISNUMBER(Capacité!E27),MAX(0,Capacité!E27),0)))</f>
        <v/>
      </c>
      <c r="F27" s="26" t="str">
        <f>IF(OR($A27="",4&gt;Paramètres!$B$9),"",IF(Capacité!F27="",Personnes!$G27,IF(ISNUMBER(Capacité!F27),MAX(0,Capacité!F27),0)))</f>
        <v/>
      </c>
      <c r="G27" s="26" t="str">
        <f>IF(OR($A27="",5&gt;Paramètres!$B$9),"",IF(Capacité!G27="",Personnes!$G27,IF(ISNUMBER(Capacité!G27),MAX(0,Capacité!G27),0)))</f>
        <v/>
      </c>
      <c r="H27" s="26" t="str">
        <f>IF(OR($A27="",6&gt;Paramètres!$B$9),"",IF(Capacité!H27="",Personnes!$G27,IF(ISNUMBER(Capacité!H27),MAX(0,Capacité!H27),0)))</f>
        <v/>
      </c>
      <c r="I27" s="26" t="str">
        <f>IF(OR($A27="",7&gt;Paramètres!$B$9),"",IF(Capacité!I27="",Personnes!$G27,IF(ISNUMBER(Capacité!I27),MAX(0,Capacité!I27),0)))</f>
        <v/>
      </c>
      <c r="J27" s="26" t="str">
        <f>IF(OR($A27="",8&gt;Paramètres!$B$9),"",IF(Capacité!J27="",Personnes!$G27,IF(ISNUMBER(Capacité!J27),MAX(0,Capacité!J27),0)))</f>
        <v/>
      </c>
      <c r="K27" s="26" t="str">
        <f>IF(OR($A27="",9&gt;Paramètres!$B$9),"",IF(Capacité!K27="",Personnes!$G27,IF(ISNUMBER(Capacité!K27),MAX(0,Capacité!K27),0)))</f>
        <v/>
      </c>
      <c r="L27" s="26" t="str">
        <f>IF(OR($A27="",10&gt;Paramètres!$B$9),"",IF(Capacité!L27="",Personnes!$G27,IF(ISNUMBER(Capacité!L27),MAX(0,Capacité!L27),0)))</f>
        <v/>
      </c>
      <c r="M27" s="26" t="str">
        <f>IF(OR($A27="",11&gt;Paramètres!$B$9),"",IF(Capacité!M27="",Personnes!$G27,IF(ISNUMBER(Capacité!M27),MAX(0,Capacité!M27),0)))</f>
        <v/>
      </c>
      <c r="N27" s="26" t="str">
        <f>IF(OR($A27="",12&gt;Paramètres!$B$9),"",IF(Capacité!N27="",Personnes!$G27,IF(ISNUMBER(Capacité!N27),MAX(0,Capacité!N27),0)))</f>
        <v/>
      </c>
      <c r="O27" s="26" t="str">
        <f>IF(OR($A27="",13&gt;Paramètres!$B$9),"",IF(Capacité!O27="",Personnes!$G27,IF(ISNUMBER(Capacité!O27),MAX(0,Capacité!O27),0)))</f>
        <v/>
      </c>
    </row>
    <row r="28" ht="28" customHeight="1">
      <c r="A28" s="25" t="str">
        <f>IF(Personnes!A28="","",Personnes!A28)</f>
        <v/>
      </c>
      <c r="B28" s="25" t="str">
        <f>IF(A28="","",Personnes!B28)</f>
        <v/>
      </c>
      <c r="C28" s="24" t="str">
        <f>IF(OR($A28="",1&gt;Paramètres!$B$9),"",IF(Capacité!C28="",Personnes!$G28,IF(ISNUMBER(Capacité!C28),MAX(0,Capacité!C28),0)))</f>
        <v/>
      </c>
      <c r="D28" s="24" t="str">
        <f>IF(OR($A28="",2&gt;Paramètres!$B$9),"",IF(Capacité!D28="",Personnes!$G28,IF(ISNUMBER(Capacité!D28),MAX(0,Capacité!D28),0)))</f>
        <v/>
      </c>
      <c r="E28" s="24" t="str">
        <f>IF(OR($A28="",3&gt;Paramètres!$B$9),"",IF(Capacité!E28="",Personnes!$G28,IF(ISNUMBER(Capacité!E28),MAX(0,Capacité!E28),0)))</f>
        <v/>
      </c>
      <c r="F28" s="24" t="str">
        <f>IF(OR($A28="",4&gt;Paramètres!$B$9),"",IF(Capacité!F28="",Personnes!$G28,IF(ISNUMBER(Capacité!F28),MAX(0,Capacité!F28),0)))</f>
        <v/>
      </c>
      <c r="G28" s="24" t="str">
        <f>IF(OR($A28="",5&gt;Paramètres!$B$9),"",IF(Capacité!G28="",Personnes!$G28,IF(ISNUMBER(Capacité!G28),MAX(0,Capacité!G28),0)))</f>
        <v/>
      </c>
      <c r="H28" s="24" t="str">
        <f>IF(OR($A28="",6&gt;Paramètres!$B$9),"",IF(Capacité!H28="",Personnes!$G28,IF(ISNUMBER(Capacité!H28),MAX(0,Capacité!H28),0)))</f>
        <v/>
      </c>
      <c r="I28" s="24" t="str">
        <f>IF(OR($A28="",7&gt;Paramètres!$B$9),"",IF(Capacité!I28="",Personnes!$G28,IF(ISNUMBER(Capacité!I28),MAX(0,Capacité!I28),0)))</f>
        <v/>
      </c>
      <c r="J28" s="24" t="str">
        <f>IF(OR($A28="",8&gt;Paramètres!$B$9),"",IF(Capacité!J28="",Personnes!$G28,IF(ISNUMBER(Capacité!J28),MAX(0,Capacité!J28),0)))</f>
        <v/>
      </c>
      <c r="K28" s="24" t="str">
        <f>IF(OR($A28="",9&gt;Paramètres!$B$9),"",IF(Capacité!K28="",Personnes!$G28,IF(ISNUMBER(Capacité!K28),MAX(0,Capacité!K28),0)))</f>
        <v/>
      </c>
      <c r="L28" s="24" t="str">
        <f>IF(OR($A28="",10&gt;Paramètres!$B$9),"",IF(Capacité!L28="",Personnes!$G28,IF(ISNUMBER(Capacité!L28),MAX(0,Capacité!L28),0)))</f>
        <v/>
      </c>
      <c r="M28" s="24" t="str">
        <f>IF(OR($A28="",11&gt;Paramètres!$B$9),"",IF(Capacité!M28="",Personnes!$G28,IF(ISNUMBER(Capacité!M28),MAX(0,Capacité!M28),0)))</f>
        <v/>
      </c>
      <c r="N28" s="24" t="str">
        <f>IF(OR($A28="",12&gt;Paramètres!$B$9),"",IF(Capacité!N28="",Personnes!$G28,IF(ISNUMBER(Capacité!N28),MAX(0,Capacité!N28),0)))</f>
        <v/>
      </c>
      <c r="O28" s="24" t="str">
        <f>IF(OR($A28="",13&gt;Paramètres!$B$9),"",IF(Capacité!O28="",Personnes!$G28,IF(ISNUMBER(Capacité!O28),MAX(0,Capacité!O28),0)))</f>
        <v/>
      </c>
    </row>
    <row r="29" ht="28" customHeight="1">
      <c r="A29" s="27" t="str">
        <f>IF(Personnes!A29="","",Personnes!A29)</f>
        <v/>
      </c>
      <c r="B29" s="27" t="str">
        <f>IF(A29="","",Personnes!B29)</f>
        <v/>
      </c>
      <c r="C29" s="26" t="str">
        <f>IF(OR($A29="",1&gt;Paramètres!$B$9),"",IF(Capacité!C29="",Personnes!$G29,IF(ISNUMBER(Capacité!C29),MAX(0,Capacité!C29),0)))</f>
        <v/>
      </c>
      <c r="D29" s="26" t="str">
        <f>IF(OR($A29="",2&gt;Paramètres!$B$9),"",IF(Capacité!D29="",Personnes!$G29,IF(ISNUMBER(Capacité!D29),MAX(0,Capacité!D29),0)))</f>
        <v/>
      </c>
      <c r="E29" s="26" t="str">
        <f>IF(OR($A29="",3&gt;Paramètres!$B$9),"",IF(Capacité!E29="",Personnes!$G29,IF(ISNUMBER(Capacité!E29),MAX(0,Capacité!E29),0)))</f>
        <v/>
      </c>
      <c r="F29" s="26" t="str">
        <f>IF(OR($A29="",4&gt;Paramètres!$B$9),"",IF(Capacité!F29="",Personnes!$G29,IF(ISNUMBER(Capacité!F29),MAX(0,Capacité!F29),0)))</f>
        <v/>
      </c>
      <c r="G29" s="26" t="str">
        <f>IF(OR($A29="",5&gt;Paramètres!$B$9),"",IF(Capacité!G29="",Personnes!$G29,IF(ISNUMBER(Capacité!G29),MAX(0,Capacité!G29),0)))</f>
        <v/>
      </c>
      <c r="H29" s="26" t="str">
        <f>IF(OR($A29="",6&gt;Paramètres!$B$9),"",IF(Capacité!H29="",Personnes!$G29,IF(ISNUMBER(Capacité!H29),MAX(0,Capacité!H29),0)))</f>
        <v/>
      </c>
      <c r="I29" s="26" t="str">
        <f>IF(OR($A29="",7&gt;Paramètres!$B$9),"",IF(Capacité!I29="",Personnes!$G29,IF(ISNUMBER(Capacité!I29),MAX(0,Capacité!I29),0)))</f>
        <v/>
      </c>
      <c r="J29" s="26" t="str">
        <f>IF(OR($A29="",8&gt;Paramètres!$B$9),"",IF(Capacité!J29="",Personnes!$G29,IF(ISNUMBER(Capacité!J29),MAX(0,Capacité!J29),0)))</f>
        <v/>
      </c>
      <c r="K29" s="26" t="str">
        <f>IF(OR($A29="",9&gt;Paramètres!$B$9),"",IF(Capacité!K29="",Personnes!$G29,IF(ISNUMBER(Capacité!K29),MAX(0,Capacité!K29),0)))</f>
        <v/>
      </c>
      <c r="L29" s="26" t="str">
        <f>IF(OR($A29="",10&gt;Paramètres!$B$9),"",IF(Capacité!L29="",Personnes!$G29,IF(ISNUMBER(Capacité!L29),MAX(0,Capacité!L29),0)))</f>
        <v/>
      </c>
      <c r="M29" s="26" t="str">
        <f>IF(OR($A29="",11&gt;Paramètres!$B$9),"",IF(Capacité!M29="",Personnes!$G29,IF(ISNUMBER(Capacité!M29),MAX(0,Capacité!M29),0)))</f>
        <v/>
      </c>
      <c r="N29" s="26" t="str">
        <f>IF(OR($A29="",12&gt;Paramètres!$B$9),"",IF(Capacité!N29="",Personnes!$G29,IF(ISNUMBER(Capacité!N29),MAX(0,Capacité!N29),0)))</f>
        <v/>
      </c>
      <c r="O29" s="26" t="str">
        <f>IF(OR($A29="",13&gt;Paramètres!$B$9),"",IF(Capacité!O29="",Personnes!$G29,IF(ISNUMBER(Capacité!O29),MAX(0,Capacité!O29),0)))</f>
        <v/>
      </c>
    </row>
    <row r="30" ht="28" customHeight="1">
      <c r="A30" s="25" t="str">
        <f>IF(Personnes!A30="","",Personnes!A30)</f>
        <v/>
      </c>
      <c r="B30" s="25" t="str">
        <f>IF(A30="","",Personnes!B30)</f>
        <v/>
      </c>
      <c r="C30" s="24" t="str">
        <f>IF(OR($A30="",1&gt;Paramètres!$B$9),"",IF(Capacité!C30="",Personnes!$G30,IF(ISNUMBER(Capacité!C30),MAX(0,Capacité!C30),0)))</f>
        <v/>
      </c>
      <c r="D30" s="24" t="str">
        <f>IF(OR($A30="",2&gt;Paramètres!$B$9),"",IF(Capacité!D30="",Personnes!$G30,IF(ISNUMBER(Capacité!D30),MAX(0,Capacité!D30),0)))</f>
        <v/>
      </c>
      <c r="E30" s="24" t="str">
        <f>IF(OR($A30="",3&gt;Paramètres!$B$9),"",IF(Capacité!E30="",Personnes!$G30,IF(ISNUMBER(Capacité!E30),MAX(0,Capacité!E30),0)))</f>
        <v/>
      </c>
      <c r="F30" s="24" t="str">
        <f>IF(OR($A30="",4&gt;Paramètres!$B$9),"",IF(Capacité!F30="",Personnes!$G30,IF(ISNUMBER(Capacité!F30),MAX(0,Capacité!F30),0)))</f>
        <v/>
      </c>
      <c r="G30" s="24" t="str">
        <f>IF(OR($A30="",5&gt;Paramètres!$B$9),"",IF(Capacité!G30="",Personnes!$G30,IF(ISNUMBER(Capacité!G30),MAX(0,Capacité!G30),0)))</f>
        <v/>
      </c>
      <c r="H30" s="24" t="str">
        <f>IF(OR($A30="",6&gt;Paramètres!$B$9),"",IF(Capacité!H30="",Personnes!$G30,IF(ISNUMBER(Capacité!H30),MAX(0,Capacité!H30),0)))</f>
        <v/>
      </c>
      <c r="I30" s="24" t="str">
        <f>IF(OR($A30="",7&gt;Paramètres!$B$9),"",IF(Capacité!I30="",Personnes!$G30,IF(ISNUMBER(Capacité!I30),MAX(0,Capacité!I30),0)))</f>
        <v/>
      </c>
      <c r="J30" s="24" t="str">
        <f>IF(OR($A30="",8&gt;Paramètres!$B$9),"",IF(Capacité!J30="",Personnes!$G30,IF(ISNUMBER(Capacité!J30),MAX(0,Capacité!J30),0)))</f>
        <v/>
      </c>
      <c r="K30" s="24" t="str">
        <f>IF(OR($A30="",9&gt;Paramètres!$B$9),"",IF(Capacité!K30="",Personnes!$G30,IF(ISNUMBER(Capacité!K30),MAX(0,Capacité!K30),0)))</f>
        <v/>
      </c>
      <c r="L30" s="24" t="str">
        <f>IF(OR($A30="",10&gt;Paramètres!$B$9),"",IF(Capacité!L30="",Personnes!$G30,IF(ISNUMBER(Capacité!L30),MAX(0,Capacité!L30),0)))</f>
        <v/>
      </c>
      <c r="M30" s="24" t="str">
        <f>IF(OR($A30="",11&gt;Paramètres!$B$9),"",IF(Capacité!M30="",Personnes!$G30,IF(ISNUMBER(Capacité!M30),MAX(0,Capacité!M30),0)))</f>
        <v/>
      </c>
      <c r="N30" s="24" t="str">
        <f>IF(OR($A30="",12&gt;Paramètres!$B$9),"",IF(Capacité!N30="",Personnes!$G30,IF(ISNUMBER(Capacité!N30),MAX(0,Capacité!N30),0)))</f>
        <v/>
      </c>
      <c r="O30" s="24" t="str">
        <f>IF(OR($A30="",13&gt;Paramètres!$B$9),"",IF(Capacité!O30="",Personnes!$G30,IF(ISNUMBER(Capacité!O30),MAX(0,Capacité!O30),0)))</f>
        <v/>
      </c>
    </row>
    <row r="31" ht="28" customHeight="1">
      <c r="A31" s="27" t="str">
        <f>IF(Personnes!A31="","",Personnes!A31)</f>
        <v/>
      </c>
      <c r="B31" s="27" t="str">
        <f>IF(A31="","",Personnes!B31)</f>
        <v/>
      </c>
      <c r="C31" s="26" t="str">
        <f>IF(OR($A31="",1&gt;Paramètres!$B$9),"",IF(Capacité!C31="",Personnes!$G31,IF(ISNUMBER(Capacité!C31),MAX(0,Capacité!C31),0)))</f>
        <v/>
      </c>
      <c r="D31" s="26" t="str">
        <f>IF(OR($A31="",2&gt;Paramètres!$B$9),"",IF(Capacité!D31="",Personnes!$G31,IF(ISNUMBER(Capacité!D31),MAX(0,Capacité!D31),0)))</f>
        <v/>
      </c>
      <c r="E31" s="26" t="str">
        <f>IF(OR($A31="",3&gt;Paramètres!$B$9),"",IF(Capacité!E31="",Personnes!$G31,IF(ISNUMBER(Capacité!E31),MAX(0,Capacité!E31),0)))</f>
        <v/>
      </c>
      <c r="F31" s="26" t="str">
        <f>IF(OR($A31="",4&gt;Paramètres!$B$9),"",IF(Capacité!F31="",Personnes!$G31,IF(ISNUMBER(Capacité!F31),MAX(0,Capacité!F31),0)))</f>
        <v/>
      </c>
      <c r="G31" s="26" t="str">
        <f>IF(OR($A31="",5&gt;Paramètres!$B$9),"",IF(Capacité!G31="",Personnes!$G31,IF(ISNUMBER(Capacité!G31),MAX(0,Capacité!G31),0)))</f>
        <v/>
      </c>
      <c r="H31" s="26" t="str">
        <f>IF(OR($A31="",6&gt;Paramètres!$B$9),"",IF(Capacité!H31="",Personnes!$G31,IF(ISNUMBER(Capacité!H31),MAX(0,Capacité!H31),0)))</f>
        <v/>
      </c>
      <c r="I31" s="26" t="str">
        <f>IF(OR($A31="",7&gt;Paramètres!$B$9),"",IF(Capacité!I31="",Personnes!$G31,IF(ISNUMBER(Capacité!I31),MAX(0,Capacité!I31),0)))</f>
        <v/>
      </c>
      <c r="J31" s="26" t="str">
        <f>IF(OR($A31="",8&gt;Paramètres!$B$9),"",IF(Capacité!J31="",Personnes!$G31,IF(ISNUMBER(Capacité!J31),MAX(0,Capacité!J31),0)))</f>
        <v/>
      </c>
      <c r="K31" s="26" t="str">
        <f>IF(OR($A31="",9&gt;Paramètres!$B$9),"",IF(Capacité!K31="",Personnes!$G31,IF(ISNUMBER(Capacité!K31),MAX(0,Capacité!K31),0)))</f>
        <v/>
      </c>
      <c r="L31" s="26" t="str">
        <f>IF(OR($A31="",10&gt;Paramètres!$B$9),"",IF(Capacité!L31="",Personnes!$G31,IF(ISNUMBER(Capacité!L31),MAX(0,Capacité!L31),0)))</f>
        <v/>
      </c>
      <c r="M31" s="26" t="str">
        <f>IF(OR($A31="",11&gt;Paramètres!$B$9),"",IF(Capacité!M31="",Personnes!$G31,IF(ISNUMBER(Capacité!M31),MAX(0,Capacité!M31),0)))</f>
        <v/>
      </c>
      <c r="N31" s="26" t="str">
        <f>IF(OR($A31="",12&gt;Paramètres!$B$9),"",IF(Capacité!N31="",Personnes!$G31,IF(ISNUMBER(Capacité!N31),MAX(0,Capacité!N31),0)))</f>
        <v/>
      </c>
      <c r="O31" s="26" t="str">
        <f>IF(OR($A31="",13&gt;Paramètres!$B$9),"",IF(Capacité!O31="",Personnes!$G31,IF(ISNUMBER(Capacité!O31),MAX(0,Capacité!O31),0)))</f>
        <v/>
      </c>
    </row>
    <row r="32" ht="28" customHeight="1">
      <c r="A32" s="25" t="str">
        <f>IF(Personnes!A32="","",Personnes!A32)</f>
        <v/>
      </c>
      <c r="B32" s="25" t="str">
        <f>IF(A32="","",Personnes!B32)</f>
        <v/>
      </c>
      <c r="C32" s="24" t="str">
        <f>IF(OR($A32="",1&gt;Paramètres!$B$9),"",IF(Capacité!C32="",Personnes!$G32,IF(ISNUMBER(Capacité!C32),MAX(0,Capacité!C32),0)))</f>
        <v/>
      </c>
      <c r="D32" s="24" t="str">
        <f>IF(OR($A32="",2&gt;Paramètres!$B$9),"",IF(Capacité!D32="",Personnes!$G32,IF(ISNUMBER(Capacité!D32),MAX(0,Capacité!D32),0)))</f>
        <v/>
      </c>
      <c r="E32" s="24" t="str">
        <f>IF(OR($A32="",3&gt;Paramètres!$B$9),"",IF(Capacité!E32="",Personnes!$G32,IF(ISNUMBER(Capacité!E32),MAX(0,Capacité!E32),0)))</f>
        <v/>
      </c>
      <c r="F32" s="24" t="str">
        <f>IF(OR($A32="",4&gt;Paramètres!$B$9),"",IF(Capacité!F32="",Personnes!$G32,IF(ISNUMBER(Capacité!F32),MAX(0,Capacité!F32),0)))</f>
        <v/>
      </c>
      <c r="G32" s="24" t="str">
        <f>IF(OR($A32="",5&gt;Paramètres!$B$9),"",IF(Capacité!G32="",Personnes!$G32,IF(ISNUMBER(Capacité!G32),MAX(0,Capacité!G32),0)))</f>
        <v/>
      </c>
      <c r="H32" s="24" t="str">
        <f>IF(OR($A32="",6&gt;Paramètres!$B$9),"",IF(Capacité!H32="",Personnes!$G32,IF(ISNUMBER(Capacité!H32),MAX(0,Capacité!H32),0)))</f>
        <v/>
      </c>
      <c r="I32" s="24" t="str">
        <f>IF(OR($A32="",7&gt;Paramètres!$B$9),"",IF(Capacité!I32="",Personnes!$G32,IF(ISNUMBER(Capacité!I32),MAX(0,Capacité!I32),0)))</f>
        <v/>
      </c>
      <c r="J32" s="24" t="str">
        <f>IF(OR($A32="",8&gt;Paramètres!$B$9),"",IF(Capacité!J32="",Personnes!$G32,IF(ISNUMBER(Capacité!J32),MAX(0,Capacité!J32),0)))</f>
        <v/>
      </c>
      <c r="K32" s="24" t="str">
        <f>IF(OR($A32="",9&gt;Paramètres!$B$9),"",IF(Capacité!K32="",Personnes!$G32,IF(ISNUMBER(Capacité!K32),MAX(0,Capacité!K32),0)))</f>
        <v/>
      </c>
      <c r="L32" s="24" t="str">
        <f>IF(OR($A32="",10&gt;Paramètres!$B$9),"",IF(Capacité!L32="",Personnes!$G32,IF(ISNUMBER(Capacité!L32),MAX(0,Capacité!L32),0)))</f>
        <v/>
      </c>
      <c r="M32" s="24" t="str">
        <f>IF(OR($A32="",11&gt;Paramètres!$B$9),"",IF(Capacité!M32="",Personnes!$G32,IF(ISNUMBER(Capacité!M32),MAX(0,Capacité!M32),0)))</f>
        <v/>
      </c>
      <c r="N32" s="24" t="str">
        <f>IF(OR($A32="",12&gt;Paramètres!$B$9),"",IF(Capacité!N32="",Personnes!$G32,IF(ISNUMBER(Capacité!N32),MAX(0,Capacité!N32),0)))</f>
        <v/>
      </c>
      <c r="O32" s="24" t="str">
        <f>IF(OR($A32="",13&gt;Paramètres!$B$9),"",IF(Capacité!O32="",Personnes!$G32,IF(ISNUMBER(Capacité!O32),MAX(0,Capacité!O32),0)))</f>
        <v/>
      </c>
    </row>
    <row r="33" ht="28" customHeight="1">
      <c r="A33" s="27" t="str">
        <f>IF(Personnes!A33="","",Personnes!A33)</f>
        <v/>
      </c>
      <c r="B33" s="27" t="str">
        <f>IF(A33="","",Personnes!B33)</f>
        <v/>
      </c>
      <c r="C33" s="26" t="str">
        <f>IF(OR($A33="",1&gt;Paramètres!$B$9),"",IF(Capacité!C33="",Personnes!$G33,IF(ISNUMBER(Capacité!C33),MAX(0,Capacité!C33),0)))</f>
        <v/>
      </c>
      <c r="D33" s="26" t="str">
        <f>IF(OR($A33="",2&gt;Paramètres!$B$9),"",IF(Capacité!D33="",Personnes!$G33,IF(ISNUMBER(Capacité!D33),MAX(0,Capacité!D33),0)))</f>
        <v/>
      </c>
      <c r="E33" s="26" t="str">
        <f>IF(OR($A33="",3&gt;Paramètres!$B$9),"",IF(Capacité!E33="",Personnes!$G33,IF(ISNUMBER(Capacité!E33),MAX(0,Capacité!E33),0)))</f>
        <v/>
      </c>
      <c r="F33" s="26" t="str">
        <f>IF(OR($A33="",4&gt;Paramètres!$B$9),"",IF(Capacité!F33="",Personnes!$G33,IF(ISNUMBER(Capacité!F33),MAX(0,Capacité!F33),0)))</f>
        <v/>
      </c>
      <c r="G33" s="26" t="str">
        <f>IF(OR($A33="",5&gt;Paramètres!$B$9),"",IF(Capacité!G33="",Personnes!$G33,IF(ISNUMBER(Capacité!G33),MAX(0,Capacité!G33),0)))</f>
        <v/>
      </c>
      <c r="H33" s="26" t="str">
        <f>IF(OR($A33="",6&gt;Paramètres!$B$9),"",IF(Capacité!H33="",Personnes!$G33,IF(ISNUMBER(Capacité!H33),MAX(0,Capacité!H33),0)))</f>
        <v/>
      </c>
      <c r="I33" s="26" t="str">
        <f>IF(OR($A33="",7&gt;Paramètres!$B$9),"",IF(Capacité!I33="",Personnes!$G33,IF(ISNUMBER(Capacité!I33),MAX(0,Capacité!I33),0)))</f>
        <v/>
      </c>
      <c r="J33" s="26" t="str">
        <f>IF(OR($A33="",8&gt;Paramètres!$B$9),"",IF(Capacité!J33="",Personnes!$G33,IF(ISNUMBER(Capacité!J33),MAX(0,Capacité!J33),0)))</f>
        <v/>
      </c>
      <c r="K33" s="26" t="str">
        <f>IF(OR($A33="",9&gt;Paramètres!$B$9),"",IF(Capacité!K33="",Personnes!$G33,IF(ISNUMBER(Capacité!K33),MAX(0,Capacité!K33),0)))</f>
        <v/>
      </c>
      <c r="L33" s="26" t="str">
        <f>IF(OR($A33="",10&gt;Paramètres!$B$9),"",IF(Capacité!L33="",Personnes!$G33,IF(ISNUMBER(Capacité!L33),MAX(0,Capacité!L33),0)))</f>
        <v/>
      </c>
      <c r="M33" s="26" t="str">
        <f>IF(OR($A33="",11&gt;Paramètres!$B$9),"",IF(Capacité!M33="",Personnes!$G33,IF(ISNUMBER(Capacité!M33),MAX(0,Capacité!M33),0)))</f>
        <v/>
      </c>
      <c r="N33" s="26" t="str">
        <f>IF(OR($A33="",12&gt;Paramètres!$B$9),"",IF(Capacité!N33="",Personnes!$G33,IF(ISNUMBER(Capacité!N33),MAX(0,Capacité!N33),0)))</f>
        <v/>
      </c>
      <c r="O33" s="26" t="str">
        <f>IF(OR($A33="",13&gt;Paramètres!$B$9),"",IF(Capacité!O33="",Personnes!$G33,IF(ISNUMBER(Capacité!O33),MAX(0,Capacité!O33),0)))</f>
        <v/>
      </c>
    </row>
    <row r="34" ht="28" customHeight="1">
      <c r="A34" s="25" t="str">
        <f>IF(Personnes!A34="","",Personnes!A34)</f>
        <v/>
      </c>
      <c r="B34" s="25" t="str">
        <f>IF(A34="","",Personnes!B34)</f>
        <v/>
      </c>
      <c r="C34" s="24" t="str">
        <f>IF(OR($A34="",1&gt;Paramètres!$B$9),"",IF(Capacité!C34="",Personnes!$G34,IF(ISNUMBER(Capacité!C34),MAX(0,Capacité!C34),0)))</f>
        <v/>
      </c>
      <c r="D34" s="24" t="str">
        <f>IF(OR($A34="",2&gt;Paramètres!$B$9),"",IF(Capacité!D34="",Personnes!$G34,IF(ISNUMBER(Capacité!D34),MAX(0,Capacité!D34),0)))</f>
        <v/>
      </c>
      <c r="E34" s="24" t="str">
        <f>IF(OR($A34="",3&gt;Paramètres!$B$9),"",IF(Capacité!E34="",Personnes!$G34,IF(ISNUMBER(Capacité!E34),MAX(0,Capacité!E34),0)))</f>
        <v/>
      </c>
      <c r="F34" s="24" t="str">
        <f>IF(OR($A34="",4&gt;Paramètres!$B$9),"",IF(Capacité!F34="",Personnes!$G34,IF(ISNUMBER(Capacité!F34),MAX(0,Capacité!F34),0)))</f>
        <v/>
      </c>
      <c r="G34" s="24" t="str">
        <f>IF(OR($A34="",5&gt;Paramètres!$B$9),"",IF(Capacité!G34="",Personnes!$G34,IF(ISNUMBER(Capacité!G34),MAX(0,Capacité!G34),0)))</f>
        <v/>
      </c>
      <c r="H34" s="24" t="str">
        <f>IF(OR($A34="",6&gt;Paramètres!$B$9),"",IF(Capacité!H34="",Personnes!$G34,IF(ISNUMBER(Capacité!H34),MAX(0,Capacité!H34),0)))</f>
        <v/>
      </c>
      <c r="I34" s="24" t="str">
        <f>IF(OR($A34="",7&gt;Paramètres!$B$9),"",IF(Capacité!I34="",Personnes!$G34,IF(ISNUMBER(Capacité!I34),MAX(0,Capacité!I34),0)))</f>
        <v/>
      </c>
      <c r="J34" s="24" t="str">
        <f>IF(OR($A34="",8&gt;Paramètres!$B$9),"",IF(Capacité!J34="",Personnes!$G34,IF(ISNUMBER(Capacité!J34),MAX(0,Capacité!J34),0)))</f>
        <v/>
      </c>
      <c r="K34" s="24" t="str">
        <f>IF(OR($A34="",9&gt;Paramètres!$B$9),"",IF(Capacité!K34="",Personnes!$G34,IF(ISNUMBER(Capacité!K34),MAX(0,Capacité!K34),0)))</f>
        <v/>
      </c>
      <c r="L34" s="24" t="str">
        <f>IF(OR($A34="",10&gt;Paramètres!$B$9),"",IF(Capacité!L34="",Personnes!$G34,IF(ISNUMBER(Capacité!L34),MAX(0,Capacité!L34),0)))</f>
        <v/>
      </c>
      <c r="M34" s="24" t="str">
        <f>IF(OR($A34="",11&gt;Paramètres!$B$9),"",IF(Capacité!M34="",Personnes!$G34,IF(ISNUMBER(Capacité!M34),MAX(0,Capacité!M34),0)))</f>
        <v/>
      </c>
      <c r="N34" s="24" t="str">
        <f>IF(OR($A34="",12&gt;Paramètres!$B$9),"",IF(Capacité!N34="",Personnes!$G34,IF(ISNUMBER(Capacité!N34),MAX(0,Capacité!N34),0)))</f>
        <v/>
      </c>
      <c r="O34" s="24" t="str">
        <f>IF(OR($A34="",13&gt;Paramètres!$B$9),"",IF(Capacité!O34="",Personnes!$G34,IF(ISNUMBER(Capacité!O34),MAX(0,Capacité!O34),0)))</f>
        <v/>
      </c>
    </row>
    <row r="35" ht="28" customHeight="1">
      <c r="A35" s="27" t="str">
        <f>IF(Personnes!A35="","",Personnes!A35)</f>
        <v/>
      </c>
      <c r="B35" s="27" t="str">
        <f>IF(A35="","",Personnes!B35)</f>
        <v/>
      </c>
      <c r="C35" s="26" t="str">
        <f>IF(OR($A35="",1&gt;Paramètres!$B$9),"",IF(Capacité!C35="",Personnes!$G35,IF(ISNUMBER(Capacité!C35),MAX(0,Capacité!C35),0)))</f>
        <v/>
      </c>
      <c r="D35" s="26" t="str">
        <f>IF(OR($A35="",2&gt;Paramètres!$B$9),"",IF(Capacité!D35="",Personnes!$G35,IF(ISNUMBER(Capacité!D35),MAX(0,Capacité!D35),0)))</f>
        <v/>
      </c>
      <c r="E35" s="26" t="str">
        <f>IF(OR($A35="",3&gt;Paramètres!$B$9),"",IF(Capacité!E35="",Personnes!$G35,IF(ISNUMBER(Capacité!E35),MAX(0,Capacité!E35),0)))</f>
        <v/>
      </c>
      <c r="F35" s="26" t="str">
        <f>IF(OR($A35="",4&gt;Paramètres!$B$9),"",IF(Capacité!F35="",Personnes!$G35,IF(ISNUMBER(Capacité!F35),MAX(0,Capacité!F35),0)))</f>
        <v/>
      </c>
      <c r="G35" s="26" t="str">
        <f>IF(OR($A35="",5&gt;Paramètres!$B$9),"",IF(Capacité!G35="",Personnes!$G35,IF(ISNUMBER(Capacité!G35),MAX(0,Capacité!G35),0)))</f>
        <v/>
      </c>
      <c r="H35" s="26" t="str">
        <f>IF(OR($A35="",6&gt;Paramètres!$B$9),"",IF(Capacité!H35="",Personnes!$G35,IF(ISNUMBER(Capacité!H35),MAX(0,Capacité!H35),0)))</f>
        <v/>
      </c>
      <c r="I35" s="26" t="str">
        <f>IF(OR($A35="",7&gt;Paramètres!$B$9),"",IF(Capacité!I35="",Personnes!$G35,IF(ISNUMBER(Capacité!I35),MAX(0,Capacité!I35),0)))</f>
        <v/>
      </c>
      <c r="J35" s="26" t="str">
        <f>IF(OR($A35="",8&gt;Paramètres!$B$9),"",IF(Capacité!J35="",Personnes!$G35,IF(ISNUMBER(Capacité!J35),MAX(0,Capacité!J35),0)))</f>
        <v/>
      </c>
      <c r="K35" s="26" t="str">
        <f>IF(OR($A35="",9&gt;Paramètres!$B$9),"",IF(Capacité!K35="",Personnes!$G35,IF(ISNUMBER(Capacité!K35),MAX(0,Capacité!K35),0)))</f>
        <v/>
      </c>
      <c r="L35" s="26" t="str">
        <f>IF(OR($A35="",10&gt;Paramètres!$B$9),"",IF(Capacité!L35="",Personnes!$G35,IF(ISNUMBER(Capacité!L35),MAX(0,Capacité!L35),0)))</f>
        <v/>
      </c>
      <c r="M35" s="26" t="str">
        <f>IF(OR($A35="",11&gt;Paramètres!$B$9),"",IF(Capacité!M35="",Personnes!$G35,IF(ISNUMBER(Capacité!M35),MAX(0,Capacité!M35),0)))</f>
        <v/>
      </c>
      <c r="N35" s="26" t="str">
        <f>IF(OR($A35="",12&gt;Paramètres!$B$9),"",IF(Capacité!N35="",Personnes!$G35,IF(ISNUMBER(Capacité!N35),MAX(0,Capacité!N35),0)))</f>
        <v/>
      </c>
      <c r="O35" s="26" t="str">
        <f>IF(OR($A35="",13&gt;Paramètres!$B$9),"",IF(Capacité!O35="",Personnes!$G35,IF(ISNUMBER(Capacité!O35),MAX(0,Capacité!O35),0)))</f>
        <v/>
      </c>
    </row>
    <row r="36" ht="28" customHeight="1">
      <c r="A36" s="25" t="str">
        <f>IF(Personnes!A36="","",Personnes!A36)</f>
        <v/>
      </c>
      <c r="B36" s="25" t="str">
        <f>IF(A36="","",Personnes!B36)</f>
        <v/>
      </c>
      <c r="C36" s="24" t="str">
        <f>IF(OR($A36="",1&gt;Paramètres!$B$9),"",IF(Capacité!C36="",Personnes!$G36,IF(ISNUMBER(Capacité!C36),MAX(0,Capacité!C36),0)))</f>
        <v/>
      </c>
      <c r="D36" s="24" t="str">
        <f>IF(OR($A36="",2&gt;Paramètres!$B$9),"",IF(Capacité!D36="",Personnes!$G36,IF(ISNUMBER(Capacité!D36),MAX(0,Capacité!D36),0)))</f>
        <v/>
      </c>
      <c r="E36" s="24" t="str">
        <f>IF(OR($A36="",3&gt;Paramètres!$B$9),"",IF(Capacité!E36="",Personnes!$G36,IF(ISNUMBER(Capacité!E36),MAX(0,Capacité!E36),0)))</f>
        <v/>
      </c>
      <c r="F36" s="24" t="str">
        <f>IF(OR($A36="",4&gt;Paramètres!$B$9),"",IF(Capacité!F36="",Personnes!$G36,IF(ISNUMBER(Capacité!F36),MAX(0,Capacité!F36),0)))</f>
        <v/>
      </c>
      <c r="G36" s="24" t="str">
        <f>IF(OR($A36="",5&gt;Paramètres!$B$9),"",IF(Capacité!G36="",Personnes!$G36,IF(ISNUMBER(Capacité!G36),MAX(0,Capacité!G36),0)))</f>
        <v/>
      </c>
      <c r="H36" s="24" t="str">
        <f>IF(OR($A36="",6&gt;Paramètres!$B$9),"",IF(Capacité!H36="",Personnes!$G36,IF(ISNUMBER(Capacité!H36),MAX(0,Capacité!H36),0)))</f>
        <v/>
      </c>
      <c r="I36" s="24" t="str">
        <f>IF(OR($A36="",7&gt;Paramètres!$B$9),"",IF(Capacité!I36="",Personnes!$G36,IF(ISNUMBER(Capacité!I36),MAX(0,Capacité!I36),0)))</f>
        <v/>
      </c>
      <c r="J36" s="24" t="str">
        <f>IF(OR($A36="",8&gt;Paramètres!$B$9),"",IF(Capacité!J36="",Personnes!$G36,IF(ISNUMBER(Capacité!J36),MAX(0,Capacité!J36),0)))</f>
        <v/>
      </c>
      <c r="K36" s="24" t="str">
        <f>IF(OR($A36="",9&gt;Paramètres!$B$9),"",IF(Capacité!K36="",Personnes!$G36,IF(ISNUMBER(Capacité!K36),MAX(0,Capacité!K36),0)))</f>
        <v/>
      </c>
      <c r="L36" s="24" t="str">
        <f>IF(OR($A36="",10&gt;Paramètres!$B$9),"",IF(Capacité!L36="",Personnes!$G36,IF(ISNUMBER(Capacité!L36),MAX(0,Capacité!L36),0)))</f>
        <v/>
      </c>
      <c r="M36" s="24" t="str">
        <f>IF(OR($A36="",11&gt;Paramètres!$B$9),"",IF(Capacité!M36="",Personnes!$G36,IF(ISNUMBER(Capacité!M36),MAX(0,Capacité!M36),0)))</f>
        <v/>
      </c>
      <c r="N36" s="24" t="str">
        <f>IF(OR($A36="",12&gt;Paramètres!$B$9),"",IF(Capacité!N36="",Personnes!$G36,IF(ISNUMBER(Capacité!N36),MAX(0,Capacité!N36),0)))</f>
        <v/>
      </c>
      <c r="O36" s="24" t="str">
        <f>IF(OR($A36="",13&gt;Paramètres!$B$9),"",IF(Capacité!O36="",Personnes!$G36,IF(ISNUMBER(Capacité!O36),MAX(0,Capacité!O36),0)))</f>
        <v/>
      </c>
    </row>
    <row r="37" ht="28" customHeight="1">
      <c r="A37" s="27" t="str">
        <f>IF(Personnes!A37="","",Personnes!A37)</f>
        <v/>
      </c>
      <c r="B37" s="27" t="str">
        <f>IF(A37="","",Personnes!B37)</f>
        <v/>
      </c>
      <c r="C37" s="26" t="str">
        <f>IF(OR($A37="",1&gt;Paramètres!$B$9),"",IF(Capacité!C37="",Personnes!$G37,IF(ISNUMBER(Capacité!C37),MAX(0,Capacité!C37),0)))</f>
        <v/>
      </c>
      <c r="D37" s="26" t="str">
        <f>IF(OR($A37="",2&gt;Paramètres!$B$9),"",IF(Capacité!D37="",Personnes!$G37,IF(ISNUMBER(Capacité!D37),MAX(0,Capacité!D37),0)))</f>
        <v/>
      </c>
      <c r="E37" s="26" t="str">
        <f>IF(OR($A37="",3&gt;Paramètres!$B$9),"",IF(Capacité!E37="",Personnes!$G37,IF(ISNUMBER(Capacité!E37),MAX(0,Capacité!E37),0)))</f>
        <v/>
      </c>
      <c r="F37" s="26" t="str">
        <f>IF(OR($A37="",4&gt;Paramètres!$B$9),"",IF(Capacité!F37="",Personnes!$G37,IF(ISNUMBER(Capacité!F37),MAX(0,Capacité!F37),0)))</f>
        <v/>
      </c>
      <c r="G37" s="26" t="str">
        <f>IF(OR($A37="",5&gt;Paramètres!$B$9),"",IF(Capacité!G37="",Personnes!$G37,IF(ISNUMBER(Capacité!G37),MAX(0,Capacité!G37),0)))</f>
        <v/>
      </c>
      <c r="H37" s="26" t="str">
        <f>IF(OR($A37="",6&gt;Paramètres!$B$9),"",IF(Capacité!H37="",Personnes!$G37,IF(ISNUMBER(Capacité!H37),MAX(0,Capacité!H37),0)))</f>
        <v/>
      </c>
      <c r="I37" s="26" t="str">
        <f>IF(OR($A37="",7&gt;Paramètres!$B$9),"",IF(Capacité!I37="",Personnes!$G37,IF(ISNUMBER(Capacité!I37),MAX(0,Capacité!I37),0)))</f>
        <v/>
      </c>
      <c r="J37" s="26" t="str">
        <f>IF(OR($A37="",8&gt;Paramètres!$B$9),"",IF(Capacité!J37="",Personnes!$G37,IF(ISNUMBER(Capacité!J37),MAX(0,Capacité!J37),0)))</f>
        <v/>
      </c>
      <c r="K37" s="26" t="str">
        <f>IF(OR($A37="",9&gt;Paramètres!$B$9),"",IF(Capacité!K37="",Personnes!$G37,IF(ISNUMBER(Capacité!K37),MAX(0,Capacité!K37),0)))</f>
        <v/>
      </c>
      <c r="L37" s="26" t="str">
        <f>IF(OR($A37="",10&gt;Paramètres!$B$9),"",IF(Capacité!L37="",Personnes!$G37,IF(ISNUMBER(Capacité!L37),MAX(0,Capacité!L37),0)))</f>
        <v/>
      </c>
      <c r="M37" s="26" t="str">
        <f>IF(OR($A37="",11&gt;Paramètres!$B$9),"",IF(Capacité!M37="",Personnes!$G37,IF(ISNUMBER(Capacité!M37),MAX(0,Capacité!M37),0)))</f>
        <v/>
      </c>
      <c r="N37" s="26" t="str">
        <f>IF(OR($A37="",12&gt;Paramètres!$B$9),"",IF(Capacité!N37="",Personnes!$G37,IF(ISNUMBER(Capacité!N37),MAX(0,Capacité!N37),0)))</f>
        <v/>
      </c>
      <c r="O37" s="26" t="str">
        <f>IF(OR($A37="",13&gt;Paramètres!$B$9),"",IF(Capacité!O37="",Personnes!$G37,IF(ISNUMBER(Capacité!O37),MAX(0,Capacité!O37),0)))</f>
        <v/>
      </c>
    </row>
    <row r="38" ht="28" customHeight="1">
      <c r="A38" s="25" t="str">
        <f>IF(Personnes!A38="","",Personnes!A38)</f>
        <v/>
      </c>
      <c r="B38" s="25" t="str">
        <f>IF(A38="","",Personnes!B38)</f>
        <v/>
      </c>
      <c r="C38" s="24" t="str">
        <f>IF(OR($A38="",1&gt;Paramètres!$B$9),"",IF(Capacité!C38="",Personnes!$G38,IF(ISNUMBER(Capacité!C38),MAX(0,Capacité!C38),0)))</f>
        <v/>
      </c>
      <c r="D38" s="24" t="str">
        <f>IF(OR($A38="",2&gt;Paramètres!$B$9),"",IF(Capacité!D38="",Personnes!$G38,IF(ISNUMBER(Capacité!D38),MAX(0,Capacité!D38),0)))</f>
        <v/>
      </c>
      <c r="E38" s="24" t="str">
        <f>IF(OR($A38="",3&gt;Paramètres!$B$9),"",IF(Capacité!E38="",Personnes!$G38,IF(ISNUMBER(Capacité!E38),MAX(0,Capacité!E38),0)))</f>
        <v/>
      </c>
      <c r="F38" s="24" t="str">
        <f>IF(OR($A38="",4&gt;Paramètres!$B$9),"",IF(Capacité!F38="",Personnes!$G38,IF(ISNUMBER(Capacité!F38),MAX(0,Capacité!F38),0)))</f>
        <v/>
      </c>
      <c r="G38" s="24" t="str">
        <f>IF(OR($A38="",5&gt;Paramètres!$B$9),"",IF(Capacité!G38="",Personnes!$G38,IF(ISNUMBER(Capacité!G38),MAX(0,Capacité!G38),0)))</f>
        <v/>
      </c>
      <c r="H38" s="24" t="str">
        <f>IF(OR($A38="",6&gt;Paramètres!$B$9),"",IF(Capacité!H38="",Personnes!$G38,IF(ISNUMBER(Capacité!H38),MAX(0,Capacité!H38),0)))</f>
        <v/>
      </c>
      <c r="I38" s="24" t="str">
        <f>IF(OR($A38="",7&gt;Paramètres!$B$9),"",IF(Capacité!I38="",Personnes!$G38,IF(ISNUMBER(Capacité!I38),MAX(0,Capacité!I38),0)))</f>
        <v/>
      </c>
      <c r="J38" s="24" t="str">
        <f>IF(OR($A38="",8&gt;Paramètres!$B$9),"",IF(Capacité!J38="",Personnes!$G38,IF(ISNUMBER(Capacité!J38),MAX(0,Capacité!J38),0)))</f>
        <v/>
      </c>
      <c r="K38" s="24" t="str">
        <f>IF(OR($A38="",9&gt;Paramètres!$B$9),"",IF(Capacité!K38="",Personnes!$G38,IF(ISNUMBER(Capacité!K38),MAX(0,Capacité!K38),0)))</f>
        <v/>
      </c>
      <c r="L38" s="24" t="str">
        <f>IF(OR($A38="",10&gt;Paramètres!$B$9),"",IF(Capacité!L38="",Personnes!$G38,IF(ISNUMBER(Capacité!L38),MAX(0,Capacité!L38),0)))</f>
        <v/>
      </c>
      <c r="M38" s="24" t="str">
        <f>IF(OR($A38="",11&gt;Paramètres!$B$9),"",IF(Capacité!M38="",Personnes!$G38,IF(ISNUMBER(Capacité!M38),MAX(0,Capacité!M38),0)))</f>
        <v/>
      </c>
      <c r="N38" s="24" t="str">
        <f>IF(OR($A38="",12&gt;Paramètres!$B$9),"",IF(Capacité!N38="",Personnes!$G38,IF(ISNUMBER(Capacité!N38),MAX(0,Capacité!N38),0)))</f>
        <v/>
      </c>
      <c r="O38" s="24" t="str">
        <f>IF(OR($A38="",13&gt;Paramètres!$B$9),"",IF(Capacité!O38="",Personnes!$G38,IF(ISNUMBER(Capacité!O38),MAX(0,Capacité!O38),0)))</f>
        <v/>
      </c>
    </row>
    <row r="39" ht="28" customHeight="1">
      <c r="A39" s="27" t="str">
        <f>IF(Personnes!A39="","",Personnes!A39)</f>
        <v/>
      </c>
      <c r="B39" s="27" t="str">
        <f>IF(A39="","",Personnes!B39)</f>
        <v/>
      </c>
      <c r="C39" s="26" t="str">
        <f>IF(OR($A39="",1&gt;Paramètres!$B$9),"",IF(Capacité!C39="",Personnes!$G39,IF(ISNUMBER(Capacité!C39),MAX(0,Capacité!C39),0)))</f>
        <v/>
      </c>
      <c r="D39" s="26" t="str">
        <f>IF(OR($A39="",2&gt;Paramètres!$B$9),"",IF(Capacité!D39="",Personnes!$G39,IF(ISNUMBER(Capacité!D39),MAX(0,Capacité!D39),0)))</f>
        <v/>
      </c>
      <c r="E39" s="26" t="str">
        <f>IF(OR($A39="",3&gt;Paramètres!$B$9),"",IF(Capacité!E39="",Personnes!$G39,IF(ISNUMBER(Capacité!E39),MAX(0,Capacité!E39),0)))</f>
        <v/>
      </c>
      <c r="F39" s="26" t="str">
        <f>IF(OR($A39="",4&gt;Paramètres!$B$9),"",IF(Capacité!F39="",Personnes!$G39,IF(ISNUMBER(Capacité!F39),MAX(0,Capacité!F39),0)))</f>
        <v/>
      </c>
      <c r="G39" s="26" t="str">
        <f>IF(OR($A39="",5&gt;Paramètres!$B$9),"",IF(Capacité!G39="",Personnes!$G39,IF(ISNUMBER(Capacité!G39),MAX(0,Capacité!G39),0)))</f>
        <v/>
      </c>
      <c r="H39" s="26" t="str">
        <f>IF(OR($A39="",6&gt;Paramètres!$B$9),"",IF(Capacité!H39="",Personnes!$G39,IF(ISNUMBER(Capacité!H39),MAX(0,Capacité!H39),0)))</f>
        <v/>
      </c>
      <c r="I39" s="26" t="str">
        <f>IF(OR($A39="",7&gt;Paramètres!$B$9),"",IF(Capacité!I39="",Personnes!$G39,IF(ISNUMBER(Capacité!I39),MAX(0,Capacité!I39),0)))</f>
        <v/>
      </c>
      <c r="J39" s="26" t="str">
        <f>IF(OR($A39="",8&gt;Paramètres!$B$9),"",IF(Capacité!J39="",Personnes!$G39,IF(ISNUMBER(Capacité!J39),MAX(0,Capacité!J39),0)))</f>
        <v/>
      </c>
      <c r="K39" s="26" t="str">
        <f>IF(OR($A39="",9&gt;Paramètres!$B$9),"",IF(Capacité!K39="",Personnes!$G39,IF(ISNUMBER(Capacité!K39),MAX(0,Capacité!K39),0)))</f>
        <v/>
      </c>
      <c r="L39" s="26" t="str">
        <f>IF(OR($A39="",10&gt;Paramètres!$B$9),"",IF(Capacité!L39="",Personnes!$G39,IF(ISNUMBER(Capacité!L39),MAX(0,Capacité!L39),0)))</f>
        <v/>
      </c>
      <c r="M39" s="26" t="str">
        <f>IF(OR($A39="",11&gt;Paramètres!$B$9),"",IF(Capacité!M39="",Personnes!$G39,IF(ISNUMBER(Capacité!M39),MAX(0,Capacité!M39),0)))</f>
        <v/>
      </c>
      <c r="N39" s="26" t="str">
        <f>IF(OR($A39="",12&gt;Paramètres!$B$9),"",IF(Capacité!N39="",Personnes!$G39,IF(ISNUMBER(Capacité!N39),MAX(0,Capacité!N39),0)))</f>
        <v/>
      </c>
      <c r="O39" s="26" t="str">
        <f>IF(OR($A39="",13&gt;Paramètres!$B$9),"",IF(Capacité!O39="",Personnes!$G39,IF(ISNUMBER(Capacité!O39),MAX(0,Capacité!O39),0)))</f>
        <v/>
      </c>
    </row>
    <row r="40" ht="28" customHeight="1">
      <c r="A40" s="25" t="str">
        <f>IF(Personnes!A40="","",Personnes!A40)</f>
        <v/>
      </c>
      <c r="B40" s="25" t="str">
        <f>IF(A40="","",Personnes!B40)</f>
        <v/>
      </c>
      <c r="C40" s="24" t="str">
        <f>IF(OR($A40="",1&gt;Paramètres!$B$9),"",IF(Capacité!C40="",Personnes!$G40,IF(ISNUMBER(Capacité!C40),MAX(0,Capacité!C40),0)))</f>
        <v/>
      </c>
      <c r="D40" s="24" t="str">
        <f>IF(OR($A40="",2&gt;Paramètres!$B$9),"",IF(Capacité!D40="",Personnes!$G40,IF(ISNUMBER(Capacité!D40),MAX(0,Capacité!D40),0)))</f>
        <v/>
      </c>
      <c r="E40" s="24" t="str">
        <f>IF(OR($A40="",3&gt;Paramètres!$B$9),"",IF(Capacité!E40="",Personnes!$G40,IF(ISNUMBER(Capacité!E40),MAX(0,Capacité!E40),0)))</f>
        <v/>
      </c>
      <c r="F40" s="24" t="str">
        <f>IF(OR($A40="",4&gt;Paramètres!$B$9),"",IF(Capacité!F40="",Personnes!$G40,IF(ISNUMBER(Capacité!F40),MAX(0,Capacité!F40),0)))</f>
        <v/>
      </c>
      <c r="G40" s="24" t="str">
        <f>IF(OR($A40="",5&gt;Paramètres!$B$9),"",IF(Capacité!G40="",Personnes!$G40,IF(ISNUMBER(Capacité!G40),MAX(0,Capacité!G40),0)))</f>
        <v/>
      </c>
      <c r="H40" s="24" t="str">
        <f>IF(OR($A40="",6&gt;Paramètres!$B$9),"",IF(Capacité!H40="",Personnes!$G40,IF(ISNUMBER(Capacité!H40),MAX(0,Capacité!H40),0)))</f>
        <v/>
      </c>
      <c r="I40" s="24" t="str">
        <f>IF(OR($A40="",7&gt;Paramètres!$B$9),"",IF(Capacité!I40="",Personnes!$G40,IF(ISNUMBER(Capacité!I40),MAX(0,Capacité!I40),0)))</f>
        <v/>
      </c>
      <c r="J40" s="24" t="str">
        <f>IF(OR($A40="",8&gt;Paramètres!$B$9),"",IF(Capacité!J40="",Personnes!$G40,IF(ISNUMBER(Capacité!J40),MAX(0,Capacité!J40),0)))</f>
        <v/>
      </c>
      <c r="K40" s="24" t="str">
        <f>IF(OR($A40="",9&gt;Paramètres!$B$9),"",IF(Capacité!K40="",Personnes!$G40,IF(ISNUMBER(Capacité!K40),MAX(0,Capacité!K40),0)))</f>
        <v/>
      </c>
      <c r="L40" s="24" t="str">
        <f>IF(OR($A40="",10&gt;Paramètres!$B$9),"",IF(Capacité!L40="",Personnes!$G40,IF(ISNUMBER(Capacité!L40),MAX(0,Capacité!L40),0)))</f>
        <v/>
      </c>
      <c r="M40" s="24" t="str">
        <f>IF(OR($A40="",11&gt;Paramètres!$B$9),"",IF(Capacité!M40="",Personnes!$G40,IF(ISNUMBER(Capacité!M40),MAX(0,Capacité!M40),0)))</f>
        <v/>
      </c>
      <c r="N40" s="24" t="str">
        <f>IF(OR($A40="",12&gt;Paramètres!$B$9),"",IF(Capacité!N40="",Personnes!$G40,IF(ISNUMBER(Capacité!N40),MAX(0,Capacité!N40),0)))</f>
        <v/>
      </c>
      <c r="O40" s="24" t="str">
        <f>IF(OR($A40="",13&gt;Paramètres!$B$9),"",IF(Capacité!O40="",Personnes!$G40,IF(ISNUMBER(Capacité!O40),MAX(0,Capacité!O40),0)))</f>
        <v/>
      </c>
    </row>
    <row r="41" ht="28" customHeight="1">
      <c r="A41" s="27" t="str">
        <f>IF(Personnes!A41="","",Personnes!A41)</f>
        <v/>
      </c>
      <c r="B41" s="27" t="str">
        <f>IF(A41="","",Personnes!B41)</f>
        <v/>
      </c>
      <c r="C41" s="26" t="str">
        <f>IF(OR($A41="",1&gt;Paramètres!$B$9),"",IF(Capacité!C41="",Personnes!$G41,IF(ISNUMBER(Capacité!C41),MAX(0,Capacité!C41),0)))</f>
        <v/>
      </c>
      <c r="D41" s="26" t="str">
        <f>IF(OR($A41="",2&gt;Paramètres!$B$9),"",IF(Capacité!D41="",Personnes!$G41,IF(ISNUMBER(Capacité!D41),MAX(0,Capacité!D41),0)))</f>
        <v/>
      </c>
      <c r="E41" s="26" t="str">
        <f>IF(OR($A41="",3&gt;Paramètres!$B$9),"",IF(Capacité!E41="",Personnes!$G41,IF(ISNUMBER(Capacité!E41),MAX(0,Capacité!E41),0)))</f>
        <v/>
      </c>
      <c r="F41" s="26" t="str">
        <f>IF(OR($A41="",4&gt;Paramètres!$B$9),"",IF(Capacité!F41="",Personnes!$G41,IF(ISNUMBER(Capacité!F41),MAX(0,Capacité!F41),0)))</f>
        <v/>
      </c>
      <c r="G41" s="26" t="str">
        <f>IF(OR($A41="",5&gt;Paramètres!$B$9),"",IF(Capacité!G41="",Personnes!$G41,IF(ISNUMBER(Capacité!G41),MAX(0,Capacité!G41),0)))</f>
        <v/>
      </c>
      <c r="H41" s="26" t="str">
        <f>IF(OR($A41="",6&gt;Paramètres!$B$9),"",IF(Capacité!H41="",Personnes!$G41,IF(ISNUMBER(Capacité!H41),MAX(0,Capacité!H41),0)))</f>
        <v/>
      </c>
      <c r="I41" s="26" t="str">
        <f>IF(OR($A41="",7&gt;Paramètres!$B$9),"",IF(Capacité!I41="",Personnes!$G41,IF(ISNUMBER(Capacité!I41),MAX(0,Capacité!I41),0)))</f>
        <v/>
      </c>
      <c r="J41" s="26" t="str">
        <f>IF(OR($A41="",8&gt;Paramètres!$B$9),"",IF(Capacité!J41="",Personnes!$G41,IF(ISNUMBER(Capacité!J41),MAX(0,Capacité!J41),0)))</f>
        <v/>
      </c>
      <c r="K41" s="26" t="str">
        <f>IF(OR($A41="",9&gt;Paramètres!$B$9),"",IF(Capacité!K41="",Personnes!$G41,IF(ISNUMBER(Capacité!K41),MAX(0,Capacité!K41),0)))</f>
        <v/>
      </c>
      <c r="L41" s="26" t="str">
        <f>IF(OR($A41="",10&gt;Paramètres!$B$9),"",IF(Capacité!L41="",Personnes!$G41,IF(ISNUMBER(Capacité!L41),MAX(0,Capacité!L41),0)))</f>
        <v/>
      </c>
      <c r="M41" s="26" t="str">
        <f>IF(OR($A41="",11&gt;Paramètres!$B$9),"",IF(Capacité!M41="",Personnes!$G41,IF(ISNUMBER(Capacité!M41),MAX(0,Capacité!M41),0)))</f>
        <v/>
      </c>
      <c r="N41" s="26" t="str">
        <f>IF(OR($A41="",12&gt;Paramètres!$B$9),"",IF(Capacité!N41="",Personnes!$G41,IF(ISNUMBER(Capacité!N41),MAX(0,Capacité!N41),0)))</f>
        <v/>
      </c>
      <c r="O41" s="26" t="str">
        <f>IF(OR($A41="",13&gt;Paramètres!$B$9),"",IF(Capacité!O41="",Personnes!$G41,IF(ISNUMBER(Capacité!O41),MAX(0,Capacité!O41),0)))</f>
        <v/>
      </c>
    </row>
    <row r="42" ht="28" customHeight="1">
      <c r="A42" s="25" t="str">
        <f>IF(Personnes!A42="","",Personnes!A42)</f>
        <v/>
      </c>
      <c r="B42" s="25" t="str">
        <f>IF(A42="","",Personnes!B42)</f>
        <v/>
      </c>
      <c r="C42" s="24" t="str">
        <f>IF(OR($A42="",1&gt;Paramètres!$B$9),"",IF(Capacité!C42="",Personnes!$G42,IF(ISNUMBER(Capacité!C42),MAX(0,Capacité!C42),0)))</f>
        <v/>
      </c>
      <c r="D42" s="24" t="str">
        <f>IF(OR($A42="",2&gt;Paramètres!$B$9),"",IF(Capacité!D42="",Personnes!$G42,IF(ISNUMBER(Capacité!D42),MAX(0,Capacité!D42),0)))</f>
        <v/>
      </c>
      <c r="E42" s="24" t="str">
        <f>IF(OR($A42="",3&gt;Paramètres!$B$9),"",IF(Capacité!E42="",Personnes!$G42,IF(ISNUMBER(Capacité!E42),MAX(0,Capacité!E42),0)))</f>
        <v/>
      </c>
      <c r="F42" s="24" t="str">
        <f>IF(OR($A42="",4&gt;Paramètres!$B$9),"",IF(Capacité!F42="",Personnes!$G42,IF(ISNUMBER(Capacité!F42),MAX(0,Capacité!F42),0)))</f>
        <v/>
      </c>
      <c r="G42" s="24" t="str">
        <f>IF(OR($A42="",5&gt;Paramètres!$B$9),"",IF(Capacité!G42="",Personnes!$G42,IF(ISNUMBER(Capacité!G42),MAX(0,Capacité!G42),0)))</f>
        <v/>
      </c>
      <c r="H42" s="24" t="str">
        <f>IF(OR($A42="",6&gt;Paramètres!$B$9),"",IF(Capacité!H42="",Personnes!$G42,IF(ISNUMBER(Capacité!H42),MAX(0,Capacité!H42),0)))</f>
        <v/>
      </c>
      <c r="I42" s="24" t="str">
        <f>IF(OR($A42="",7&gt;Paramètres!$B$9),"",IF(Capacité!I42="",Personnes!$G42,IF(ISNUMBER(Capacité!I42),MAX(0,Capacité!I42),0)))</f>
        <v/>
      </c>
      <c r="J42" s="24" t="str">
        <f>IF(OR($A42="",8&gt;Paramètres!$B$9),"",IF(Capacité!J42="",Personnes!$G42,IF(ISNUMBER(Capacité!J42),MAX(0,Capacité!J42),0)))</f>
        <v/>
      </c>
      <c r="K42" s="24" t="str">
        <f>IF(OR($A42="",9&gt;Paramètres!$B$9),"",IF(Capacité!K42="",Personnes!$G42,IF(ISNUMBER(Capacité!K42),MAX(0,Capacité!K42),0)))</f>
        <v/>
      </c>
      <c r="L42" s="24" t="str">
        <f>IF(OR($A42="",10&gt;Paramètres!$B$9),"",IF(Capacité!L42="",Personnes!$G42,IF(ISNUMBER(Capacité!L42),MAX(0,Capacité!L42),0)))</f>
        <v/>
      </c>
      <c r="M42" s="24" t="str">
        <f>IF(OR($A42="",11&gt;Paramètres!$B$9),"",IF(Capacité!M42="",Personnes!$G42,IF(ISNUMBER(Capacité!M42),MAX(0,Capacité!M42),0)))</f>
        <v/>
      </c>
      <c r="N42" s="24" t="str">
        <f>IF(OR($A42="",12&gt;Paramètres!$B$9),"",IF(Capacité!N42="",Personnes!$G42,IF(ISNUMBER(Capacité!N42),MAX(0,Capacité!N42),0)))</f>
        <v/>
      </c>
      <c r="O42" s="24" t="str">
        <f>IF(OR($A42="",13&gt;Paramètres!$B$9),"",IF(Capacité!O42="",Personnes!$G42,IF(ISNUMBER(Capacité!O42),MAX(0,Capacité!O42),0)))</f>
        <v/>
      </c>
    </row>
    <row r="43" ht="28" customHeight="1">
      <c r="A43" s="27" t="str">
        <f>IF(Personnes!A43="","",Personnes!A43)</f>
        <v/>
      </c>
      <c r="B43" s="27" t="str">
        <f>IF(A43="","",Personnes!B43)</f>
        <v/>
      </c>
      <c r="C43" s="26" t="str">
        <f>IF(OR($A43="",1&gt;Paramètres!$B$9),"",IF(Capacité!C43="",Personnes!$G43,IF(ISNUMBER(Capacité!C43),MAX(0,Capacité!C43),0)))</f>
        <v/>
      </c>
      <c r="D43" s="26" t="str">
        <f>IF(OR($A43="",2&gt;Paramètres!$B$9),"",IF(Capacité!D43="",Personnes!$G43,IF(ISNUMBER(Capacité!D43),MAX(0,Capacité!D43),0)))</f>
        <v/>
      </c>
      <c r="E43" s="26" t="str">
        <f>IF(OR($A43="",3&gt;Paramètres!$B$9),"",IF(Capacité!E43="",Personnes!$G43,IF(ISNUMBER(Capacité!E43),MAX(0,Capacité!E43),0)))</f>
        <v/>
      </c>
      <c r="F43" s="26" t="str">
        <f>IF(OR($A43="",4&gt;Paramètres!$B$9),"",IF(Capacité!F43="",Personnes!$G43,IF(ISNUMBER(Capacité!F43),MAX(0,Capacité!F43),0)))</f>
        <v/>
      </c>
      <c r="G43" s="26" t="str">
        <f>IF(OR($A43="",5&gt;Paramètres!$B$9),"",IF(Capacité!G43="",Personnes!$G43,IF(ISNUMBER(Capacité!G43),MAX(0,Capacité!G43),0)))</f>
        <v/>
      </c>
      <c r="H43" s="26" t="str">
        <f>IF(OR($A43="",6&gt;Paramètres!$B$9),"",IF(Capacité!H43="",Personnes!$G43,IF(ISNUMBER(Capacité!H43),MAX(0,Capacité!H43),0)))</f>
        <v/>
      </c>
      <c r="I43" s="26" t="str">
        <f>IF(OR($A43="",7&gt;Paramètres!$B$9),"",IF(Capacité!I43="",Personnes!$G43,IF(ISNUMBER(Capacité!I43),MAX(0,Capacité!I43),0)))</f>
        <v/>
      </c>
      <c r="J43" s="26" t="str">
        <f>IF(OR($A43="",8&gt;Paramètres!$B$9),"",IF(Capacité!J43="",Personnes!$G43,IF(ISNUMBER(Capacité!J43),MAX(0,Capacité!J43),0)))</f>
        <v/>
      </c>
      <c r="K43" s="26" t="str">
        <f>IF(OR($A43="",9&gt;Paramètres!$B$9),"",IF(Capacité!K43="",Personnes!$G43,IF(ISNUMBER(Capacité!K43),MAX(0,Capacité!K43),0)))</f>
        <v/>
      </c>
      <c r="L43" s="26" t="str">
        <f>IF(OR($A43="",10&gt;Paramètres!$B$9),"",IF(Capacité!L43="",Personnes!$G43,IF(ISNUMBER(Capacité!L43),MAX(0,Capacité!L43),0)))</f>
        <v/>
      </c>
      <c r="M43" s="26" t="str">
        <f>IF(OR($A43="",11&gt;Paramètres!$B$9),"",IF(Capacité!M43="",Personnes!$G43,IF(ISNUMBER(Capacité!M43),MAX(0,Capacité!M43),0)))</f>
        <v/>
      </c>
      <c r="N43" s="26" t="str">
        <f>IF(OR($A43="",12&gt;Paramètres!$B$9),"",IF(Capacité!N43="",Personnes!$G43,IF(ISNUMBER(Capacité!N43),MAX(0,Capacité!N43),0)))</f>
        <v/>
      </c>
      <c r="O43" s="26" t="str">
        <f>IF(OR($A43="",13&gt;Paramètres!$B$9),"",IF(Capacité!O43="",Personnes!$G43,IF(ISNUMBER(Capacité!O43),MAX(0,Capacité!O43),0)))</f>
        <v/>
      </c>
    </row>
    <row r="44" ht="28" customHeight="1">
      <c r="A44" s="25" t="str">
        <f>IF(Personnes!A44="","",Personnes!A44)</f>
        <v/>
      </c>
      <c r="B44" s="25" t="str">
        <f>IF(A44="","",Personnes!B44)</f>
        <v/>
      </c>
      <c r="C44" s="24" t="str">
        <f>IF(OR($A44="",1&gt;Paramètres!$B$9),"",IF(Capacité!C44="",Personnes!$G44,IF(ISNUMBER(Capacité!C44),MAX(0,Capacité!C44),0)))</f>
        <v/>
      </c>
      <c r="D44" s="24" t="str">
        <f>IF(OR($A44="",2&gt;Paramètres!$B$9),"",IF(Capacité!D44="",Personnes!$G44,IF(ISNUMBER(Capacité!D44),MAX(0,Capacité!D44),0)))</f>
        <v/>
      </c>
      <c r="E44" s="24" t="str">
        <f>IF(OR($A44="",3&gt;Paramètres!$B$9),"",IF(Capacité!E44="",Personnes!$G44,IF(ISNUMBER(Capacité!E44),MAX(0,Capacité!E44),0)))</f>
        <v/>
      </c>
      <c r="F44" s="24" t="str">
        <f>IF(OR($A44="",4&gt;Paramètres!$B$9),"",IF(Capacité!F44="",Personnes!$G44,IF(ISNUMBER(Capacité!F44),MAX(0,Capacité!F44),0)))</f>
        <v/>
      </c>
      <c r="G44" s="24" t="str">
        <f>IF(OR($A44="",5&gt;Paramètres!$B$9),"",IF(Capacité!G44="",Personnes!$G44,IF(ISNUMBER(Capacité!G44),MAX(0,Capacité!G44),0)))</f>
        <v/>
      </c>
      <c r="H44" s="24" t="str">
        <f>IF(OR($A44="",6&gt;Paramètres!$B$9),"",IF(Capacité!H44="",Personnes!$G44,IF(ISNUMBER(Capacité!H44),MAX(0,Capacité!H44),0)))</f>
        <v/>
      </c>
      <c r="I44" s="24" t="str">
        <f>IF(OR($A44="",7&gt;Paramètres!$B$9),"",IF(Capacité!I44="",Personnes!$G44,IF(ISNUMBER(Capacité!I44),MAX(0,Capacité!I44),0)))</f>
        <v/>
      </c>
      <c r="J44" s="24" t="str">
        <f>IF(OR($A44="",8&gt;Paramètres!$B$9),"",IF(Capacité!J44="",Personnes!$G44,IF(ISNUMBER(Capacité!J44),MAX(0,Capacité!J44),0)))</f>
        <v/>
      </c>
      <c r="K44" s="24" t="str">
        <f>IF(OR($A44="",9&gt;Paramètres!$B$9),"",IF(Capacité!K44="",Personnes!$G44,IF(ISNUMBER(Capacité!K44),MAX(0,Capacité!K44),0)))</f>
        <v/>
      </c>
      <c r="L44" s="24" t="str">
        <f>IF(OR($A44="",10&gt;Paramètres!$B$9),"",IF(Capacité!L44="",Personnes!$G44,IF(ISNUMBER(Capacité!L44),MAX(0,Capacité!L44),0)))</f>
        <v/>
      </c>
      <c r="M44" s="24" t="str">
        <f>IF(OR($A44="",11&gt;Paramètres!$B$9),"",IF(Capacité!M44="",Personnes!$G44,IF(ISNUMBER(Capacité!M44),MAX(0,Capacité!M44),0)))</f>
        <v/>
      </c>
      <c r="N44" s="24" t="str">
        <f>IF(OR($A44="",12&gt;Paramètres!$B$9),"",IF(Capacité!N44="",Personnes!$G44,IF(ISNUMBER(Capacité!N44),MAX(0,Capacité!N44),0)))</f>
        <v/>
      </c>
      <c r="O44" s="24" t="str">
        <f>IF(OR($A44="",13&gt;Paramètres!$B$9),"",IF(Capacité!O44="",Personnes!$G44,IF(ISNUMBER(Capacité!O44),MAX(0,Capacité!O44),0)))</f>
        <v/>
      </c>
    </row>
    <row r="45" ht="28" customHeight="1">
      <c r="A45" s="27" t="str">
        <f>IF(Personnes!A45="","",Personnes!A45)</f>
        <v/>
      </c>
      <c r="B45" s="27" t="str">
        <f>IF(A45="","",Personnes!B45)</f>
        <v/>
      </c>
      <c r="C45" s="26" t="str">
        <f>IF(OR($A45="",1&gt;Paramètres!$B$9),"",IF(Capacité!C45="",Personnes!$G45,IF(ISNUMBER(Capacité!C45),MAX(0,Capacité!C45),0)))</f>
        <v/>
      </c>
      <c r="D45" s="26" t="str">
        <f>IF(OR($A45="",2&gt;Paramètres!$B$9),"",IF(Capacité!D45="",Personnes!$G45,IF(ISNUMBER(Capacité!D45),MAX(0,Capacité!D45),0)))</f>
        <v/>
      </c>
      <c r="E45" s="26" t="str">
        <f>IF(OR($A45="",3&gt;Paramètres!$B$9),"",IF(Capacité!E45="",Personnes!$G45,IF(ISNUMBER(Capacité!E45),MAX(0,Capacité!E45),0)))</f>
        <v/>
      </c>
      <c r="F45" s="26" t="str">
        <f>IF(OR($A45="",4&gt;Paramètres!$B$9),"",IF(Capacité!F45="",Personnes!$G45,IF(ISNUMBER(Capacité!F45),MAX(0,Capacité!F45),0)))</f>
        <v/>
      </c>
      <c r="G45" s="26" t="str">
        <f>IF(OR($A45="",5&gt;Paramètres!$B$9),"",IF(Capacité!G45="",Personnes!$G45,IF(ISNUMBER(Capacité!G45),MAX(0,Capacité!G45),0)))</f>
        <v/>
      </c>
      <c r="H45" s="26" t="str">
        <f>IF(OR($A45="",6&gt;Paramètres!$B$9),"",IF(Capacité!H45="",Personnes!$G45,IF(ISNUMBER(Capacité!H45),MAX(0,Capacité!H45),0)))</f>
        <v/>
      </c>
      <c r="I45" s="26" t="str">
        <f>IF(OR($A45="",7&gt;Paramètres!$B$9),"",IF(Capacité!I45="",Personnes!$G45,IF(ISNUMBER(Capacité!I45),MAX(0,Capacité!I45),0)))</f>
        <v/>
      </c>
      <c r="J45" s="26" t="str">
        <f>IF(OR($A45="",8&gt;Paramètres!$B$9),"",IF(Capacité!J45="",Personnes!$G45,IF(ISNUMBER(Capacité!J45),MAX(0,Capacité!J45),0)))</f>
        <v/>
      </c>
      <c r="K45" s="26" t="str">
        <f>IF(OR($A45="",9&gt;Paramètres!$B$9),"",IF(Capacité!K45="",Personnes!$G45,IF(ISNUMBER(Capacité!K45),MAX(0,Capacité!K45),0)))</f>
        <v/>
      </c>
      <c r="L45" s="26" t="str">
        <f>IF(OR($A45="",10&gt;Paramètres!$B$9),"",IF(Capacité!L45="",Personnes!$G45,IF(ISNUMBER(Capacité!L45),MAX(0,Capacité!L45),0)))</f>
        <v/>
      </c>
      <c r="M45" s="26" t="str">
        <f>IF(OR($A45="",11&gt;Paramètres!$B$9),"",IF(Capacité!M45="",Personnes!$G45,IF(ISNUMBER(Capacité!M45),MAX(0,Capacité!M45),0)))</f>
        <v/>
      </c>
      <c r="N45" s="26" t="str">
        <f>IF(OR($A45="",12&gt;Paramètres!$B$9),"",IF(Capacité!N45="",Personnes!$G45,IF(ISNUMBER(Capacité!N45),MAX(0,Capacité!N45),0)))</f>
        <v/>
      </c>
      <c r="O45" s="26" t="str">
        <f>IF(OR($A45="",13&gt;Paramètres!$B$9),"",IF(Capacité!O45="",Personnes!$G45,IF(ISNUMBER(Capacité!O45),MAX(0,Capacité!O45),0)))</f>
        <v/>
      </c>
    </row>
    <row r="46" ht="28" customHeight="1">
      <c r="A46" s="25" t="str">
        <f>IF(Personnes!A46="","",Personnes!A46)</f>
        <v/>
      </c>
      <c r="B46" s="25" t="str">
        <f>IF(A46="","",Personnes!B46)</f>
        <v/>
      </c>
      <c r="C46" s="24" t="str">
        <f>IF(OR($A46="",1&gt;Paramètres!$B$9),"",IF(Capacité!C46="",Personnes!$G46,IF(ISNUMBER(Capacité!C46),MAX(0,Capacité!C46),0)))</f>
        <v/>
      </c>
      <c r="D46" s="24" t="str">
        <f>IF(OR($A46="",2&gt;Paramètres!$B$9),"",IF(Capacité!D46="",Personnes!$G46,IF(ISNUMBER(Capacité!D46),MAX(0,Capacité!D46),0)))</f>
        <v/>
      </c>
      <c r="E46" s="24" t="str">
        <f>IF(OR($A46="",3&gt;Paramètres!$B$9),"",IF(Capacité!E46="",Personnes!$G46,IF(ISNUMBER(Capacité!E46),MAX(0,Capacité!E46),0)))</f>
        <v/>
      </c>
      <c r="F46" s="24" t="str">
        <f>IF(OR($A46="",4&gt;Paramètres!$B$9),"",IF(Capacité!F46="",Personnes!$G46,IF(ISNUMBER(Capacité!F46),MAX(0,Capacité!F46),0)))</f>
        <v/>
      </c>
      <c r="G46" s="24" t="str">
        <f>IF(OR($A46="",5&gt;Paramètres!$B$9),"",IF(Capacité!G46="",Personnes!$G46,IF(ISNUMBER(Capacité!G46),MAX(0,Capacité!G46),0)))</f>
        <v/>
      </c>
      <c r="H46" s="24" t="str">
        <f>IF(OR($A46="",6&gt;Paramètres!$B$9),"",IF(Capacité!H46="",Personnes!$G46,IF(ISNUMBER(Capacité!H46),MAX(0,Capacité!H46),0)))</f>
        <v/>
      </c>
      <c r="I46" s="24" t="str">
        <f>IF(OR($A46="",7&gt;Paramètres!$B$9),"",IF(Capacité!I46="",Personnes!$G46,IF(ISNUMBER(Capacité!I46),MAX(0,Capacité!I46),0)))</f>
        <v/>
      </c>
      <c r="J46" s="24" t="str">
        <f>IF(OR($A46="",8&gt;Paramètres!$B$9),"",IF(Capacité!J46="",Personnes!$G46,IF(ISNUMBER(Capacité!J46),MAX(0,Capacité!J46),0)))</f>
        <v/>
      </c>
      <c r="K46" s="24" t="str">
        <f>IF(OR($A46="",9&gt;Paramètres!$B$9),"",IF(Capacité!K46="",Personnes!$G46,IF(ISNUMBER(Capacité!K46),MAX(0,Capacité!K46),0)))</f>
        <v/>
      </c>
      <c r="L46" s="24" t="str">
        <f>IF(OR($A46="",10&gt;Paramètres!$B$9),"",IF(Capacité!L46="",Personnes!$G46,IF(ISNUMBER(Capacité!L46),MAX(0,Capacité!L46),0)))</f>
        <v/>
      </c>
      <c r="M46" s="24" t="str">
        <f>IF(OR($A46="",11&gt;Paramètres!$B$9),"",IF(Capacité!M46="",Personnes!$G46,IF(ISNUMBER(Capacité!M46),MAX(0,Capacité!M46),0)))</f>
        <v/>
      </c>
      <c r="N46" s="24" t="str">
        <f>IF(OR($A46="",12&gt;Paramètres!$B$9),"",IF(Capacité!N46="",Personnes!$G46,IF(ISNUMBER(Capacité!N46),MAX(0,Capacité!N46),0)))</f>
        <v/>
      </c>
      <c r="O46" s="24" t="str">
        <f>IF(OR($A46="",13&gt;Paramètres!$B$9),"",IF(Capacité!O46="",Personnes!$G46,IF(ISNUMBER(Capacité!O46),MAX(0,Capacité!O46),0)))</f>
        <v/>
      </c>
    </row>
    <row r="47" ht="28" customHeight="1">
      <c r="A47" s="27" t="str">
        <f>IF(Personnes!A47="","",Personnes!A47)</f>
        <v/>
      </c>
      <c r="B47" s="27" t="str">
        <f>IF(A47="","",Personnes!B47)</f>
        <v/>
      </c>
      <c r="C47" s="26" t="str">
        <f>IF(OR($A47="",1&gt;Paramètres!$B$9),"",IF(Capacité!C47="",Personnes!$G47,IF(ISNUMBER(Capacité!C47),MAX(0,Capacité!C47),0)))</f>
        <v/>
      </c>
      <c r="D47" s="26" t="str">
        <f>IF(OR($A47="",2&gt;Paramètres!$B$9),"",IF(Capacité!D47="",Personnes!$G47,IF(ISNUMBER(Capacité!D47),MAX(0,Capacité!D47),0)))</f>
        <v/>
      </c>
      <c r="E47" s="26" t="str">
        <f>IF(OR($A47="",3&gt;Paramètres!$B$9),"",IF(Capacité!E47="",Personnes!$G47,IF(ISNUMBER(Capacité!E47),MAX(0,Capacité!E47),0)))</f>
        <v/>
      </c>
      <c r="F47" s="26" t="str">
        <f>IF(OR($A47="",4&gt;Paramètres!$B$9),"",IF(Capacité!F47="",Personnes!$G47,IF(ISNUMBER(Capacité!F47),MAX(0,Capacité!F47),0)))</f>
        <v/>
      </c>
      <c r="G47" s="26" t="str">
        <f>IF(OR($A47="",5&gt;Paramètres!$B$9),"",IF(Capacité!G47="",Personnes!$G47,IF(ISNUMBER(Capacité!G47),MAX(0,Capacité!G47),0)))</f>
        <v/>
      </c>
      <c r="H47" s="26" t="str">
        <f>IF(OR($A47="",6&gt;Paramètres!$B$9),"",IF(Capacité!H47="",Personnes!$G47,IF(ISNUMBER(Capacité!H47),MAX(0,Capacité!H47),0)))</f>
        <v/>
      </c>
      <c r="I47" s="26" t="str">
        <f>IF(OR($A47="",7&gt;Paramètres!$B$9),"",IF(Capacité!I47="",Personnes!$G47,IF(ISNUMBER(Capacité!I47),MAX(0,Capacité!I47),0)))</f>
        <v/>
      </c>
      <c r="J47" s="26" t="str">
        <f>IF(OR($A47="",8&gt;Paramètres!$B$9),"",IF(Capacité!J47="",Personnes!$G47,IF(ISNUMBER(Capacité!J47),MAX(0,Capacité!J47),0)))</f>
        <v/>
      </c>
      <c r="K47" s="26" t="str">
        <f>IF(OR($A47="",9&gt;Paramètres!$B$9),"",IF(Capacité!K47="",Personnes!$G47,IF(ISNUMBER(Capacité!K47),MAX(0,Capacité!K47),0)))</f>
        <v/>
      </c>
      <c r="L47" s="26" t="str">
        <f>IF(OR($A47="",10&gt;Paramètres!$B$9),"",IF(Capacité!L47="",Personnes!$G47,IF(ISNUMBER(Capacité!L47),MAX(0,Capacité!L47),0)))</f>
        <v/>
      </c>
      <c r="M47" s="26" t="str">
        <f>IF(OR($A47="",11&gt;Paramètres!$B$9),"",IF(Capacité!M47="",Personnes!$G47,IF(ISNUMBER(Capacité!M47),MAX(0,Capacité!M47),0)))</f>
        <v/>
      </c>
      <c r="N47" s="26" t="str">
        <f>IF(OR($A47="",12&gt;Paramètres!$B$9),"",IF(Capacité!N47="",Personnes!$G47,IF(ISNUMBER(Capacité!N47),MAX(0,Capacité!N47),0)))</f>
        <v/>
      </c>
      <c r="O47" s="26" t="str">
        <f>IF(OR($A47="",13&gt;Paramètres!$B$9),"",IF(Capacité!O47="",Personnes!$G47,IF(ISNUMBER(Capacité!O47),MAX(0,Capacité!O47),0)))</f>
        <v/>
      </c>
    </row>
    <row r="52" ht="28" customHeight="1">
      <c r="A52" s="23" t="inlineStr">
        <is>
          <t>CHARGE RETENUE</t>
        </is>
      </c>
      <c r="B52" s="23" t="inlineStr">
        <is>
          <t>Nom / équipe</t>
        </is>
      </c>
      <c r="C52" s="28" t="n">
        <f>IFERROR(IF(1&lt;=Paramètres!$B$9,Paramètres!$B$8+0,""),"")</f>
        <v>46300</v>
      </c>
      <c r="D52" s="28" t="n">
        <f>IFERROR(IF(2&lt;=Paramètres!$B$9,Paramètres!$B$8+7,""),"")</f>
        <v>46307</v>
      </c>
      <c r="E52" s="28" t="n">
        <f>IFERROR(IF(3&lt;=Paramètres!$B$9,Paramètres!$B$8+14,""),"")</f>
        <v>46314</v>
      </c>
      <c r="F52" s="28" t="n">
        <f>IFERROR(IF(4&lt;=Paramètres!$B$9,Paramètres!$B$8+21,""),"")</f>
        <v>46321</v>
      </c>
      <c r="G52" s="28" t="n">
        <f>IFERROR(IF(5&lt;=Paramètres!$B$9,Paramètres!$B$8+28,""),"")</f>
        <v>46328</v>
      </c>
      <c r="H52" s="28" t="n">
        <f>IFERROR(IF(6&lt;=Paramètres!$B$9,Paramètres!$B$8+35,""),"")</f>
        <v>46335</v>
      </c>
      <c r="I52" s="28" t="n">
        <f>IFERROR(IF(7&lt;=Paramètres!$B$9,Paramètres!$B$8+42,""),"")</f>
        <v>46342</v>
      </c>
      <c r="J52" s="28" t="n">
        <f>IFERROR(IF(8&lt;=Paramètres!$B$9,Paramètres!$B$8+49,""),"")</f>
        <v>46349</v>
      </c>
      <c r="K52" s="28" t="n">
        <f>IFERROR(IF(9&lt;=Paramètres!$B$9,Paramètres!$B$8+56,""),"")</f>
        <v>46356</v>
      </c>
      <c r="L52" s="28" t="n">
        <f>IFERROR(IF(10&lt;=Paramètres!$B$9,Paramètres!$B$8+63,""),"")</f>
        <v>46363</v>
      </c>
      <c r="M52" s="28" t="n">
        <f>IFERROR(IF(11&lt;=Paramètres!$B$9,Paramètres!$B$8+70,""),"")</f>
        <v>46370</v>
      </c>
      <c r="N52" s="28" t="n">
        <f>IFERROR(IF(12&lt;=Paramètres!$B$9,Paramètres!$B$8+77,""),"")</f>
        <v>46377</v>
      </c>
      <c r="O52" s="28" t="n">
        <f>IFERROR(IF(13&lt;=Paramètres!$B$9,Paramètres!$B$8+84,""),"")</f>
        <v>46384</v>
      </c>
    </row>
    <row r="53" ht="28" customHeight="1">
      <c r="A53" s="27" t="str">
        <f>IF(Personnes!A8="","",Personnes!A8)</f>
        <v/>
      </c>
      <c r="B53" s="27" t="str">
        <f>IF(A53="","",Personnes!B8)</f>
        <v/>
      </c>
      <c r="C53" s="26" t="str">
        <f>IF(OR($A53="",1&gt;Paramètres!$B$9),"",SUMIF(Calculs!$B$8:$B$247,$A53,Calculs!$X$8:$X$247))</f>
        <v/>
      </c>
      <c r="D53" s="26" t="str">
        <f>IF(OR($A53="",2&gt;Paramètres!$B$9),"",SUMIF(Calculs!$B$8:$B$247,$A53,Calculs!$Y$8:$Y$247))</f>
        <v/>
      </c>
      <c r="E53" s="26" t="str">
        <f>IF(OR($A53="",3&gt;Paramètres!$B$9),"",SUMIF(Calculs!$B$8:$B$247,$A53,Calculs!$Z$8:$Z$247))</f>
        <v/>
      </c>
      <c r="F53" s="26" t="str">
        <f>IF(OR($A53="",4&gt;Paramètres!$B$9),"",SUMIF(Calculs!$B$8:$B$247,$A53,Calculs!$AA$8:$AA$247))</f>
        <v/>
      </c>
      <c r="G53" s="26" t="str">
        <f>IF(OR($A53="",5&gt;Paramètres!$B$9),"",SUMIF(Calculs!$B$8:$B$247,$A53,Calculs!$AB$8:$AB$247))</f>
        <v/>
      </c>
      <c r="H53" s="26" t="str">
        <f>IF(OR($A53="",6&gt;Paramètres!$B$9),"",SUMIF(Calculs!$B$8:$B$247,$A53,Calculs!$AC$8:$AC$247))</f>
        <v/>
      </c>
      <c r="I53" s="26" t="str">
        <f>IF(OR($A53="",7&gt;Paramètres!$B$9),"",SUMIF(Calculs!$B$8:$B$247,$A53,Calculs!$AD$8:$AD$247))</f>
        <v/>
      </c>
      <c r="J53" s="26" t="str">
        <f>IF(OR($A53="",8&gt;Paramètres!$B$9),"",SUMIF(Calculs!$B$8:$B$247,$A53,Calculs!$AE$8:$AE$247))</f>
        <v/>
      </c>
      <c r="K53" s="26" t="str">
        <f>IF(OR($A53="",9&gt;Paramètres!$B$9),"",SUMIF(Calculs!$B$8:$B$247,$A53,Calculs!$AF$8:$AF$247))</f>
        <v/>
      </c>
      <c r="L53" s="26" t="str">
        <f>IF(OR($A53="",10&gt;Paramètres!$B$9),"",SUMIF(Calculs!$B$8:$B$247,$A53,Calculs!$AG$8:$AG$247))</f>
        <v/>
      </c>
      <c r="M53" s="26" t="str">
        <f>IF(OR($A53="",11&gt;Paramètres!$B$9),"",SUMIF(Calculs!$B$8:$B$247,$A53,Calculs!$AH$8:$AH$247))</f>
        <v/>
      </c>
      <c r="N53" s="26" t="str">
        <f>IF(OR($A53="",12&gt;Paramètres!$B$9),"",SUMIF(Calculs!$B$8:$B$247,$A53,Calculs!$AI$8:$AI$247))</f>
        <v/>
      </c>
      <c r="O53" s="26" t="str">
        <f>IF(OR($A53="",13&gt;Paramètres!$B$9),"",SUMIF(Calculs!$B$8:$B$247,$A53,Calculs!$AJ$8:$AJ$247))</f>
        <v/>
      </c>
    </row>
    <row r="54" ht="28" customHeight="1">
      <c r="A54" s="25" t="str">
        <f>IF(Personnes!A9="","",Personnes!A9)</f>
        <v/>
      </c>
      <c r="B54" s="25" t="str">
        <f>IF(A54="","",Personnes!B9)</f>
        <v/>
      </c>
      <c r="C54" s="24" t="str">
        <f>IF(OR($A54="",1&gt;Paramètres!$B$9),"",SUMIF(Calculs!$B$8:$B$247,$A54,Calculs!$X$8:$X$247))</f>
        <v/>
      </c>
      <c r="D54" s="24" t="str">
        <f>IF(OR($A54="",2&gt;Paramètres!$B$9),"",SUMIF(Calculs!$B$8:$B$247,$A54,Calculs!$Y$8:$Y$247))</f>
        <v/>
      </c>
      <c r="E54" s="24" t="str">
        <f>IF(OR($A54="",3&gt;Paramètres!$B$9),"",SUMIF(Calculs!$B$8:$B$247,$A54,Calculs!$Z$8:$Z$247))</f>
        <v/>
      </c>
      <c r="F54" s="24" t="str">
        <f>IF(OR($A54="",4&gt;Paramètres!$B$9),"",SUMIF(Calculs!$B$8:$B$247,$A54,Calculs!$AA$8:$AA$247))</f>
        <v/>
      </c>
      <c r="G54" s="24" t="str">
        <f>IF(OR($A54="",5&gt;Paramètres!$B$9),"",SUMIF(Calculs!$B$8:$B$247,$A54,Calculs!$AB$8:$AB$247))</f>
        <v/>
      </c>
      <c r="H54" s="24" t="str">
        <f>IF(OR($A54="",6&gt;Paramètres!$B$9),"",SUMIF(Calculs!$B$8:$B$247,$A54,Calculs!$AC$8:$AC$247))</f>
        <v/>
      </c>
      <c r="I54" s="24" t="str">
        <f>IF(OR($A54="",7&gt;Paramètres!$B$9),"",SUMIF(Calculs!$B$8:$B$247,$A54,Calculs!$AD$8:$AD$247))</f>
        <v/>
      </c>
      <c r="J54" s="24" t="str">
        <f>IF(OR($A54="",8&gt;Paramètres!$B$9),"",SUMIF(Calculs!$B$8:$B$247,$A54,Calculs!$AE$8:$AE$247))</f>
        <v/>
      </c>
      <c r="K54" s="24" t="str">
        <f>IF(OR($A54="",9&gt;Paramètres!$B$9),"",SUMIF(Calculs!$B$8:$B$247,$A54,Calculs!$AF$8:$AF$247))</f>
        <v/>
      </c>
      <c r="L54" s="24" t="str">
        <f>IF(OR($A54="",10&gt;Paramètres!$B$9),"",SUMIF(Calculs!$B$8:$B$247,$A54,Calculs!$AG$8:$AG$247))</f>
        <v/>
      </c>
      <c r="M54" s="24" t="str">
        <f>IF(OR($A54="",11&gt;Paramètres!$B$9),"",SUMIF(Calculs!$B$8:$B$247,$A54,Calculs!$AH$8:$AH$247))</f>
        <v/>
      </c>
      <c r="N54" s="24" t="str">
        <f>IF(OR($A54="",12&gt;Paramètres!$B$9),"",SUMIF(Calculs!$B$8:$B$247,$A54,Calculs!$AI$8:$AI$247))</f>
        <v/>
      </c>
      <c r="O54" s="24" t="str">
        <f>IF(OR($A54="",13&gt;Paramètres!$B$9),"",SUMIF(Calculs!$B$8:$B$247,$A54,Calculs!$AJ$8:$AJ$247))</f>
        <v/>
      </c>
    </row>
    <row r="55" ht="28" customHeight="1">
      <c r="A55" s="27" t="str">
        <f>IF(Personnes!A10="","",Personnes!A10)</f>
        <v/>
      </c>
      <c r="B55" s="27" t="str">
        <f>IF(A55="","",Personnes!B10)</f>
        <v/>
      </c>
      <c r="C55" s="26" t="str">
        <f>IF(OR($A55="",1&gt;Paramètres!$B$9),"",SUMIF(Calculs!$B$8:$B$247,$A55,Calculs!$X$8:$X$247))</f>
        <v/>
      </c>
      <c r="D55" s="26" t="str">
        <f>IF(OR($A55="",2&gt;Paramètres!$B$9),"",SUMIF(Calculs!$B$8:$B$247,$A55,Calculs!$Y$8:$Y$247))</f>
        <v/>
      </c>
      <c r="E55" s="26" t="str">
        <f>IF(OR($A55="",3&gt;Paramètres!$B$9),"",SUMIF(Calculs!$B$8:$B$247,$A55,Calculs!$Z$8:$Z$247))</f>
        <v/>
      </c>
      <c r="F55" s="26" t="str">
        <f>IF(OR($A55="",4&gt;Paramètres!$B$9),"",SUMIF(Calculs!$B$8:$B$247,$A55,Calculs!$AA$8:$AA$247))</f>
        <v/>
      </c>
      <c r="G55" s="26" t="str">
        <f>IF(OR($A55="",5&gt;Paramètres!$B$9),"",SUMIF(Calculs!$B$8:$B$247,$A55,Calculs!$AB$8:$AB$247))</f>
        <v/>
      </c>
      <c r="H55" s="26" t="str">
        <f>IF(OR($A55="",6&gt;Paramètres!$B$9),"",SUMIF(Calculs!$B$8:$B$247,$A55,Calculs!$AC$8:$AC$247))</f>
        <v/>
      </c>
      <c r="I55" s="26" t="str">
        <f>IF(OR($A55="",7&gt;Paramètres!$B$9),"",SUMIF(Calculs!$B$8:$B$247,$A55,Calculs!$AD$8:$AD$247))</f>
        <v/>
      </c>
      <c r="J55" s="26" t="str">
        <f>IF(OR($A55="",8&gt;Paramètres!$B$9),"",SUMIF(Calculs!$B$8:$B$247,$A55,Calculs!$AE$8:$AE$247))</f>
        <v/>
      </c>
      <c r="K55" s="26" t="str">
        <f>IF(OR($A55="",9&gt;Paramètres!$B$9),"",SUMIF(Calculs!$B$8:$B$247,$A55,Calculs!$AF$8:$AF$247))</f>
        <v/>
      </c>
      <c r="L55" s="26" t="str">
        <f>IF(OR($A55="",10&gt;Paramètres!$B$9),"",SUMIF(Calculs!$B$8:$B$247,$A55,Calculs!$AG$8:$AG$247))</f>
        <v/>
      </c>
      <c r="M55" s="26" t="str">
        <f>IF(OR($A55="",11&gt;Paramètres!$B$9),"",SUMIF(Calculs!$B$8:$B$247,$A55,Calculs!$AH$8:$AH$247))</f>
        <v/>
      </c>
      <c r="N55" s="26" t="str">
        <f>IF(OR($A55="",12&gt;Paramètres!$B$9),"",SUMIF(Calculs!$B$8:$B$247,$A55,Calculs!$AI$8:$AI$247))</f>
        <v/>
      </c>
      <c r="O55" s="26" t="str">
        <f>IF(OR($A55="",13&gt;Paramètres!$B$9),"",SUMIF(Calculs!$B$8:$B$247,$A55,Calculs!$AJ$8:$AJ$247))</f>
        <v/>
      </c>
    </row>
    <row r="56" ht="28" customHeight="1">
      <c r="A56" s="25" t="str">
        <f>IF(Personnes!A11="","",Personnes!A11)</f>
        <v/>
      </c>
      <c r="B56" s="25" t="str">
        <f>IF(A56="","",Personnes!B11)</f>
        <v/>
      </c>
      <c r="C56" s="24" t="str">
        <f>IF(OR($A56="",1&gt;Paramètres!$B$9),"",SUMIF(Calculs!$B$8:$B$247,$A56,Calculs!$X$8:$X$247))</f>
        <v/>
      </c>
      <c r="D56" s="24" t="str">
        <f>IF(OR($A56="",2&gt;Paramètres!$B$9),"",SUMIF(Calculs!$B$8:$B$247,$A56,Calculs!$Y$8:$Y$247))</f>
        <v/>
      </c>
      <c r="E56" s="24" t="str">
        <f>IF(OR($A56="",3&gt;Paramètres!$B$9),"",SUMIF(Calculs!$B$8:$B$247,$A56,Calculs!$Z$8:$Z$247))</f>
        <v/>
      </c>
      <c r="F56" s="24" t="str">
        <f>IF(OR($A56="",4&gt;Paramètres!$B$9),"",SUMIF(Calculs!$B$8:$B$247,$A56,Calculs!$AA$8:$AA$247))</f>
        <v/>
      </c>
      <c r="G56" s="24" t="str">
        <f>IF(OR($A56="",5&gt;Paramètres!$B$9),"",SUMIF(Calculs!$B$8:$B$247,$A56,Calculs!$AB$8:$AB$247))</f>
        <v/>
      </c>
      <c r="H56" s="24" t="str">
        <f>IF(OR($A56="",6&gt;Paramètres!$B$9),"",SUMIF(Calculs!$B$8:$B$247,$A56,Calculs!$AC$8:$AC$247))</f>
        <v/>
      </c>
      <c r="I56" s="24" t="str">
        <f>IF(OR($A56="",7&gt;Paramètres!$B$9),"",SUMIF(Calculs!$B$8:$B$247,$A56,Calculs!$AD$8:$AD$247))</f>
        <v/>
      </c>
      <c r="J56" s="24" t="str">
        <f>IF(OR($A56="",8&gt;Paramètres!$B$9),"",SUMIF(Calculs!$B$8:$B$247,$A56,Calculs!$AE$8:$AE$247))</f>
        <v/>
      </c>
      <c r="K56" s="24" t="str">
        <f>IF(OR($A56="",9&gt;Paramètres!$B$9),"",SUMIF(Calculs!$B$8:$B$247,$A56,Calculs!$AF$8:$AF$247))</f>
        <v/>
      </c>
      <c r="L56" s="24" t="str">
        <f>IF(OR($A56="",10&gt;Paramètres!$B$9),"",SUMIF(Calculs!$B$8:$B$247,$A56,Calculs!$AG$8:$AG$247))</f>
        <v/>
      </c>
      <c r="M56" s="24" t="str">
        <f>IF(OR($A56="",11&gt;Paramètres!$B$9),"",SUMIF(Calculs!$B$8:$B$247,$A56,Calculs!$AH$8:$AH$247))</f>
        <v/>
      </c>
      <c r="N56" s="24" t="str">
        <f>IF(OR($A56="",12&gt;Paramètres!$B$9),"",SUMIF(Calculs!$B$8:$B$247,$A56,Calculs!$AI$8:$AI$247))</f>
        <v/>
      </c>
      <c r="O56" s="24" t="str">
        <f>IF(OR($A56="",13&gt;Paramètres!$B$9),"",SUMIF(Calculs!$B$8:$B$247,$A56,Calculs!$AJ$8:$AJ$247))</f>
        <v/>
      </c>
    </row>
    <row r="57" ht="28" customHeight="1">
      <c r="A57" s="27" t="str">
        <f>IF(Personnes!A12="","",Personnes!A12)</f>
        <v/>
      </c>
      <c r="B57" s="27" t="str">
        <f>IF(A57="","",Personnes!B12)</f>
        <v/>
      </c>
      <c r="C57" s="26" t="str">
        <f>IF(OR($A57="",1&gt;Paramètres!$B$9),"",SUMIF(Calculs!$B$8:$B$247,$A57,Calculs!$X$8:$X$247))</f>
        <v/>
      </c>
      <c r="D57" s="26" t="str">
        <f>IF(OR($A57="",2&gt;Paramètres!$B$9),"",SUMIF(Calculs!$B$8:$B$247,$A57,Calculs!$Y$8:$Y$247))</f>
        <v/>
      </c>
      <c r="E57" s="26" t="str">
        <f>IF(OR($A57="",3&gt;Paramètres!$B$9),"",SUMIF(Calculs!$B$8:$B$247,$A57,Calculs!$Z$8:$Z$247))</f>
        <v/>
      </c>
      <c r="F57" s="26" t="str">
        <f>IF(OR($A57="",4&gt;Paramètres!$B$9),"",SUMIF(Calculs!$B$8:$B$247,$A57,Calculs!$AA$8:$AA$247))</f>
        <v/>
      </c>
      <c r="G57" s="26" t="str">
        <f>IF(OR($A57="",5&gt;Paramètres!$B$9),"",SUMIF(Calculs!$B$8:$B$247,$A57,Calculs!$AB$8:$AB$247))</f>
        <v/>
      </c>
      <c r="H57" s="26" t="str">
        <f>IF(OR($A57="",6&gt;Paramètres!$B$9),"",SUMIF(Calculs!$B$8:$B$247,$A57,Calculs!$AC$8:$AC$247))</f>
        <v/>
      </c>
      <c r="I57" s="26" t="str">
        <f>IF(OR($A57="",7&gt;Paramètres!$B$9),"",SUMIF(Calculs!$B$8:$B$247,$A57,Calculs!$AD$8:$AD$247))</f>
        <v/>
      </c>
      <c r="J57" s="26" t="str">
        <f>IF(OR($A57="",8&gt;Paramètres!$B$9),"",SUMIF(Calculs!$B$8:$B$247,$A57,Calculs!$AE$8:$AE$247))</f>
        <v/>
      </c>
      <c r="K57" s="26" t="str">
        <f>IF(OR($A57="",9&gt;Paramètres!$B$9),"",SUMIF(Calculs!$B$8:$B$247,$A57,Calculs!$AF$8:$AF$247))</f>
        <v/>
      </c>
      <c r="L57" s="26" t="str">
        <f>IF(OR($A57="",10&gt;Paramètres!$B$9),"",SUMIF(Calculs!$B$8:$B$247,$A57,Calculs!$AG$8:$AG$247))</f>
        <v/>
      </c>
      <c r="M57" s="26" t="str">
        <f>IF(OR($A57="",11&gt;Paramètres!$B$9),"",SUMIF(Calculs!$B$8:$B$247,$A57,Calculs!$AH$8:$AH$247))</f>
        <v/>
      </c>
      <c r="N57" s="26" t="str">
        <f>IF(OR($A57="",12&gt;Paramètres!$B$9),"",SUMIF(Calculs!$B$8:$B$247,$A57,Calculs!$AI$8:$AI$247))</f>
        <v/>
      </c>
      <c r="O57" s="26" t="str">
        <f>IF(OR($A57="",13&gt;Paramètres!$B$9),"",SUMIF(Calculs!$B$8:$B$247,$A57,Calculs!$AJ$8:$AJ$247))</f>
        <v/>
      </c>
    </row>
    <row r="58" ht="28" customHeight="1">
      <c r="A58" s="25" t="str">
        <f>IF(Personnes!A13="","",Personnes!A13)</f>
        <v/>
      </c>
      <c r="B58" s="25" t="str">
        <f>IF(A58="","",Personnes!B13)</f>
        <v/>
      </c>
      <c r="C58" s="24" t="str">
        <f>IF(OR($A58="",1&gt;Paramètres!$B$9),"",SUMIF(Calculs!$B$8:$B$247,$A58,Calculs!$X$8:$X$247))</f>
        <v/>
      </c>
      <c r="D58" s="24" t="str">
        <f>IF(OR($A58="",2&gt;Paramètres!$B$9),"",SUMIF(Calculs!$B$8:$B$247,$A58,Calculs!$Y$8:$Y$247))</f>
        <v/>
      </c>
      <c r="E58" s="24" t="str">
        <f>IF(OR($A58="",3&gt;Paramètres!$B$9),"",SUMIF(Calculs!$B$8:$B$247,$A58,Calculs!$Z$8:$Z$247))</f>
        <v/>
      </c>
      <c r="F58" s="24" t="str">
        <f>IF(OR($A58="",4&gt;Paramètres!$B$9),"",SUMIF(Calculs!$B$8:$B$247,$A58,Calculs!$AA$8:$AA$247))</f>
        <v/>
      </c>
      <c r="G58" s="24" t="str">
        <f>IF(OR($A58="",5&gt;Paramètres!$B$9),"",SUMIF(Calculs!$B$8:$B$247,$A58,Calculs!$AB$8:$AB$247))</f>
        <v/>
      </c>
      <c r="H58" s="24" t="str">
        <f>IF(OR($A58="",6&gt;Paramètres!$B$9),"",SUMIF(Calculs!$B$8:$B$247,$A58,Calculs!$AC$8:$AC$247))</f>
        <v/>
      </c>
      <c r="I58" s="24" t="str">
        <f>IF(OR($A58="",7&gt;Paramètres!$B$9),"",SUMIF(Calculs!$B$8:$B$247,$A58,Calculs!$AD$8:$AD$247))</f>
        <v/>
      </c>
      <c r="J58" s="24" t="str">
        <f>IF(OR($A58="",8&gt;Paramètres!$B$9),"",SUMIF(Calculs!$B$8:$B$247,$A58,Calculs!$AE$8:$AE$247))</f>
        <v/>
      </c>
      <c r="K58" s="24" t="str">
        <f>IF(OR($A58="",9&gt;Paramètres!$B$9),"",SUMIF(Calculs!$B$8:$B$247,$A58,Calculs!$AF$8:$AF$247))</f>
        <v/>
      </c>
      <c r="L58" s="24" t="str">
        <f>IF(OR($A58="",10&gt;Paramètres!$B$9),"",SUMIF(Calculs!$B$8:$B$247,$A58,Calculs!$AG$8:$AG$247))</f>
        <v/>
      </c>
      <c r="M58" s="24" t="str">
        <f>IF(OR($A58="",11&gt;Paramètres!$B$9),"",SUMIF(Calculs!$B$8:$B$247,$A58,Calculs!$AH$8:$AH$247))</f>
        <v/>
      </c>
      <c r="N58" s="24" t="str">
        <f>IF(OR($A58="",12&gt;Paramètres!$B$9),"",SUMIF(Calculs!$B$8:$B$247,$A58,Calculs!$AI$8:$AI$247))</f>
        <v/>
      </c>
      <c r="O58" s="24" t="str">
        <f>IF(OR($A58="",13&gt;Paramètres!$B$9),"",SUMIF(Calculs!$B$8:$B$247,$A58,Calculs!$AJ$8:$AJ$247))</f>
        <v/>
      </c>
    </row>
    <row r="59" ht="28" customHeight="1">
      <c r="A59" s="27" t="str">
        <f>IF(Personnes!A14="","",Personnes!A14)</f>
        <v/>
      </c>
      <c r="B59" s="27" t="str">
        <f>IF(A59="","",Personnes!B14)</f>
        <v/>
      </c>
      <c r="C59" s="26" t="str">
        <f>IF(OR($A59="",1&gt;Paramètres!$B$9),"",SUMIF(Calculs!$B$8:$B$247,$A59,Calculs!$X$8:$X$247))</f>
        <v/>
      </c>
      <c r="D59" s="26" t="str">
        <f>IF(OR($A59="",2&gt;Paramètres!$B$9),"",SUMIF(Calculs!$B$8:$B$247,$A59,Calculs!$Y$8:$Y$247))</f>
        <v/>
      </c>
      <c r="E59" s="26" t="str">
        <f>IF(OR($A59="",3&gt;Paramètres!$B$9),"",SUMIF(Calculs!$B$8:$B$247,$A59,Calculs!$Z$8:$Z$247))</f>
        <v/>
      </c>
      <c r="F59" s="26" t="str">
        <f>IF(OR($A59="",4&gt;Paramètres!$B$9),"",SUMIF(Calculs!$B$8:$B$247,$A59,Calculs!$AA$8:$AA$247))</f>
        <v/>
      </c>
      <c r="G59" s="26" t="str">
        <f>IF(OR($A59="",5&gt;Paramètres!$B$9),"",SUMIF(Calculs!$B$8:$B$247,$A59,Calculs!$AB$8:$AB$247))</f>
        <v/>
      </c>
      <c r="H59" s="26" t="str">
        <f>IF(OR($A59="",6&gt;Paramètres!$B$9),"",SUMIF(Calculs!$B$8:$B$247,$A59,Calculs!$AC$8:$AC$247))</f>
        <v/>
      </c>
      <c r="I59" s="26" t="str">
        <f>IF(OR($A59="",7&gt;Paramètres!$B$9),"",SUMIF(Calculs!$B$8:$B$247,$A59,Calculs!$AD$8:$AD$247))</f>
        <v/>
      </c>
      <c r="J59" s="26" t="str">
        <f>IF(OR($A59="",8&gt;Paramètres!$B$9),"",SUMIF(Calculs!$B$8:$B$247,$A59,Calculs!$AE$8:$AE$247))</f>
        <v/>
      </c>
      <c r="K59" s="26" t="str">
        <f>IF(OR($A59="",9&gt;Paramètres!$B$9),"",SUMIF(Calculs!$B$8:$B$247,$A59,Calculs!$AF$8:$AF$247))</f>
        <v/>
      </c>
      <c r="L59" s="26" t="str">
        <f>IF(OR($A59="",10&gt;Paramètres!$B$9),"",SUMIF(Calculs!$B$8:$B$247,$A59,Calculs!$AG$8:$AG$247))</f>
        <v/>
      </c>
      <c r="M59" s="26" t="str">
        <f>IF(OR($A59="",11&gt;Paramètres!$B$9),"",SUMIF(Calculs!$B$8:$B$247,$A59,Calculs!$AH$8:$AH$247))</f>
        <v/>
      </c>
      <c r="N59" s="26" t="str">
        <f>IF(OR($A59="",12&gt;Paramètres!$B$9),"",SUMIF(Calculs!$B$8:$B$247,$A59,Calculs!$AI$8:$AI$247))</f>
        <v/>
      </c>
      <c r="O59" s="26" t="str">
        <f>IF(OR($A59="",13&gt;Paramètres!$B$9),"",SUMIF(Calculs!$B$8:$B$247,$A59,Calculs!$AJ$8:$AJ$247))</f>
        <v/>
      </c>
    </row>
    <row r="60" ht="28" customHeight="1">
      <c r="A60" s="25" t="str">
        <f>IF(Personnes!A15="","",Personnes!A15)</f>
        <v/>
      </c>
      <c r="B60" s="25" t="str">
        <f>IF(A60="","",Personnes!B15)</f>
        <v/>
      </c>
      <c r="C60" s="24" t="str">
        <f>IF(OR($A60="",1&gt;Paramètres!$B$9),"",SUMIF(Calculs!$B$8:$B$247,$A60,Calculs!$X$8:$X$247))</f>
        <v/>
      </c>
      <c r="D60" s="24" t="str">
        <f>IF(OR($A60="",2&gt;Paramètres!$B$9),"",SUMIF(Calculs!$B$8:$B$247,$A60,Calculs!$Y$8:$Y$247))</f>
        <v/>
      </c>
      <c r="E60" s="24" t="str">
        <f>IF(OR($A60="",3&gt;Paramètres!$B$9),"",SUMIF(Calculs!$B$8:$B$247,$A60,Calculs!$Z$8:$Z$247))</f>
        <v/>
      </c>
      <c r="F60" s="24" t="str">
        <f>IF(OR($A60="",4&gt;Paramètres!$B$9),"",SUMIF(Calculs!$B$8:$B$247,$A60,Calculs!$AA$8:$AA$247))</f>
        <v/>
      </c>
      <c r="G60" s="24" t="str">
        <f>IF(OR($A60="",5&gt;Paramètres!$B$9),"",SUMIF(Calculs!$B$8:$B$247,$A60,Calculs!$AB$8:$AB$247))</f>
        <v/>
      </c>
      <c r="H60" s="24" t="str">
        <f>IF(OR($A60="",6&gt;Paramètres!$B$9),"",SUMIF(Calculs!$B$8:$B$247,$A60,Calculs!$AC$8:$AC$247))</f>
        <v/>
      </c>
      <c r="I60" s="24" t="str">
        <f>IF(OR($A60="",7&gt;Paramètres!$B$9),"",SUMIF(Calculs!$B$8:$B$247,$A60,Calculs!$AD$8:$AD$247))</f>
        <v/>
      </c>
      <c r="J60" s="24" t="str">
        <f>IF(OR($A60="",8&gt;Paramètres!$B$9),"",SUMIF(Calculs!$B$8:$B$247,$A60,Calculs!$AE$8:$AE$247))</f>
        <v/>
      </c>
      <c r="K60" s="24" t="str">
        <f>IF(OR($A60="",9&gt;Paramètres!$B$9),"",SUMIF(Calculs!$B$8:$B$247,$A60,Calculs!$AF$8:$AF$247))</f>
        <v/>
      </c>
      <c r="L60" s="24" t="str">
        <f>IF(OR($A60="",10&gt;Paramètres!$B$9),"",SUMIF(Calculs!$B$8:$B$247,$A60,Calculs!$AG$8:$AG$247))</f>
        <v/>
      </c>
      <c r="M60" s="24" t="str">
        <f>IF(OR($A60="",11&gt;Paramètres!$B$9),"",SUMIF(Calculs!$B$8:$B$247,$A60,Calculs!$AH$8:$AH$247))</f>
        <v/>
      </c>
      <c r="N60" s="24" t="str">
        <f>IF(OR($A60="",12&gt;Paramètres!$B$9),"",SUMIF(Calculs!$B$8:$B$247,$A60,Calculs!$AI$8:$AI$247))</f>
        <v/>
      </c>
      <c r="O60" s="24" t="str">
        <f>IF(OR($A60="",13&gt;Paramètres!$B$9),"",SUMIF(Calculs!$B$8:$B$247,$A60,Calculs!$AJ$8:$AJ$247))</f>
        <v/>
      </c>
    </row>
    <row r="61" ht="28" customHeight="1">
      <c r="A61" s="27" t="str">
        <f>IF(Personnes!A16="","",Personnes!A16)</f>
        <v/>
      </c>
      <c r="B61" s="27" t="str">
        <f>IF(A61="","",Personnes!B16)</f>
        <v/>
      </c>
      <c r="C61" s="26" t="str">
        <f>IF(OR($A61="",1&gt;Paramètres!$B$9),"",SUMIF(Calculs!$B$8:$B$247,$A61,Calculs!$X$8:$X$247))</f>
        <v/>
      </c>
      <c r="D61" s="26" t="str">
        <f>IF(OR($A61="",2&gt;Paramètres!$B$9),"",SUMIF(Calculs!$B$8:$B$247,$A61,Calculs!$Y$8:$Y$247))</f>
        <v/>
      </c>
      <c r="E61" s="26" t="str">
        <f>IF(OR($A61="",3&gt;Paramètres!$B$9),"",SUMIF(Calculs!$B$8:$B$247,$A61,Calculs!$Z$8:$Z$247))</f>
        <v/>
      </c>
      <c r="F61" s="26" t="str">
        <f>IF(OR($A61="",4&gt;Paramètres!$B$9),"",SUMIF(Calculs!$B$8:$B$247,$A61,Calculs!$AA$8:$AA$247))</f>
        <v/>
      </c>
      <c r="G61" s="26" t="str">
        <f>IF(OR($A61="",5&gt;Paramètres!$B$9),"",SUMIF(Calculs!$B$8:$B$247,$A61,Calculs!$AB$8:$AB$247))</f>
        <v/>
      </c>
      <c r="H61" s="26" t="str">
        <f>IF(OR($A61="",6&gt;Paramètres!$B$9),"",SUMIF(Calculs!$B$8:$B$247,$A61,Calculs!$AC$8:$AC$247))</f>
        <v/>
      </c>
      <c r="I61" s="26" t="str">
        <f>IF(OR($A61="",7&gt;Paramètres!$B$9),"",SUMIF(Calculs!$B$8:$B$247,$A61,Calculs!$AD$8:$AD$247))</f>
        <v/>
      </c>
      <c r="J61" s="26" t="str">
        <f>IF(OR($A61="",8&gt;Paramètres!$B$9),"",SUMIF(Calculs!$B$8:$B$247,$A61,Calculs!$AE$8:$AE$247))</f>
        <v/>
      </c>
      <c r="K61" s="26" t="str">
        <f>IF(OR($A61="",9&gt;Paramètres!$B$9),"",SUMIF(Calculs!$B$8:$B$247,$A61,Calculs!$AF$8:$AF$247))</f>
        <v/>
      </c>
      <c r="L61" s="26" t="str">
        <f>IF(OR($A61="",10&gt;Paramètres!$B$9),"",SUMIF(Calculs!$B$8:$B$247,$A61,Calculs!$AG$8:$AG$247))</f>
        <v/>
      </c>
      <c r="M61" s="26" t="str">
        <f>IF(OR($A61="",11&gt;Paramètres!$B$9),"",SUMIF(Calculs!$B$8:$B$247,$A61,Calculs!$AH$8:$AH$247))</f>
        <v/>
      </c>
      <c r="N61" s="26" t="str">
        <f>IF(OR($A61="",12&gt;Paramètres!$B$9),"",SUMIF(Calculs!$B$8:$B$247,$A61,Calculs!$AI$8:$AI$247))</f>
        <v/>
      </c>
      <c r="O61" s="26" t="str">
        <f>IF(OR($A61="",13&gt;Paramètres!$B$9),"",SUMIF(Calculs!$B$8:$B$247,$A61,Calculs!$AJ$8:$AJ$247))</f>
        <v/>
      </c>
    </row>
    <row r="62" ht="28" customHeight="1">
      <c r="A62" s="25" t="str">
        <f>IF(Personnes!A17="","",Personnes!A17)</f>
        <v/>
      </c>
      <c r="B62" s="25" t="str">
        <f>IF(A62="","",Personnes!B17)</f>
        <v/>
      </c>
      <c r="C62" s="24" t="str">
        <f>IF(OR($A62="",1&gt;Paramètres!$B$9),"",SUMIF(Calculs!$B$8:$B$247,$A62,Calculs!$X$8:$X$247))</f>
        <v/>
      </c>
      <c r="D62" s="24" t="str">
        <f>IF(OR($A62="",2&gt;Paramètres!$B$9),"",SUMIF(Calculs!$B$8:$B$247,$A62,Calculs!$Y$8:$Y$247))</f>
        <v/>
      </c>
      <c r="E62" s="24" t="str">
        <f>IF(OR($A62="",3&gt;Paramètres!$B$9),"",SUMIF(Calculs!$B$8:$B$247,$A62,Calculs!$Z$8:$Z$247))</f>
        <v/>
      </c>
      <c r="F62" s="24" t="str">
        <f>IF(OR($A62="",4&gt;Paramètres!$B$9),"",SUMIF(Calculs!$B$8:$B$247,$A62,Calculs!$AA$8:$AA$247))</f>
        <v/>
      </c>
      <c r="G62" s="24" t="str">
        <f>IF(OR($A62="",5&gt;Paramètres!$B$9),"",SUMIF(Calculs!$B$8:$B$247,$A62,Calculs!$AB$8:$AB$247))</f>
        <v/>
      </c>
      <c r="H62" s="24" t="str">
        <f>IF(OR($A62="",6&gt;Paramètres!$B$9),"",SUMIF(Calculs!$B$8:$B$247,$A62,Calculs!$AC$8:$AC$247))</f>
        <v/>
      </c>
      <c r="I62" s="24" t="str">
        <f>IF(OR($A62="",7&gt;Paramètres!$B$9),"",SUMIF(Calculs!$B$8:$B$247,$A62,Calculs!$AD$8:$AD$247))</f>
        <v/>
      </c>
      <c r="J62" s="24" t="str">
        <f>IF(OR($A62="",8&gt;Paramètres!$B$9),"",SUMIF(Calculs!$B$8:$B$247,$A62,Calculs!$AE$8:$AE$247))</f>
        <v/>
      </c>
      <c r="K62" s="24" t="str">
        <f>IF(OR($A62="",9&gt;Paramètres!$B$9),"",SUMIF(Calculs!$B$8:$B$247,$A62,Calculs!$AF$8:$AF$247))</f>
        <v/>
      </c>
      <c r="L62" s="24" t="str">
        <f>IF(OR($A62="",10&gt;Paramètres!$B$9),"",SUMIF(Calculs!$B$8:$B$247,$A62,Calculs!$AG$8:$AG$247))</f>
        <v/>
      </c>
      <c r="M62" s="24" t="str">
        <f>IF(OR($A62="",11&gt;Paramètres!$B$9),"",SUMIF(Calculs!$B$8:$B$247,$A62,Calculs!$AH$8:$AH$247))</f>
        <v/>
      </c>
      <c r="N62" s="24" t="str">
        <f>IF(OR($A62="",12&gt;Paramètres!$B$9),"",SUMIF(Calculs!$B$8:$B$247,$A62,Calculs!$AI$8:$AI$247))</f>
        <v/>
      </c>
      <c r="O62" s="24" t="str">
        <f>IF(OR($A62="",13&gt;Paramètres!$B$9),"",SUMIF(Calculs!$B$8:$B$247,$A62,Calculs!$AJ$8:$AJ$247))</f>
        <v/>
      </c>
    </row>
    <row r="63" ht="28" customHeight="1">
      <c r="A63" s="27" t="str">
        <f>IF(Personnes!A18="","",Personnes!A18)</f>
        <v/>
      </c>
      <c r="B63" s="27" t="str">
        <f>IF(A63="","",Personnes!B18)</f>
        <v/>
      </c>
      <c r="C63" s="26" t="str">
        <f>IF(OR($A63="",1&gt;Paramètres!$B$9),"",SUMIF(Calculs!$B$8:$B$247,$A63,Calculs!$X$8:$X$247))</f>
        <v/>
      </c>
      <c r="D63" s="26" t="str">
        <f>IF(OR($A63="",2&gt;Paramètres!$B$9),"",SUMIF(Calculs!$B$8:$B$247,$A63,Calculs!$Y$8:$Y$247))</f>
        <v/>
      </c>
      <c r="E63" s="26" t="str">
        <f>IF(OR($A63="",3&gt;Paramètres!$B$9),"",SUMIF(Calculs!$B$8:$B$247,$A63,Calculs!$Z$8:$Z$247))</f>
        <v/>
      </c>
      <c r="F63" s="26" t="str">
        <f>IF(OR($A63="",4&gt;Paramètres!$B$9),"",SUMIF(Calculs!$B$8:$B$247,$A63,Calculs!$AA$8:$AA$247))</f>
        <v/>
      </c>
      <c r="G63" s="26" t="str">
        <f>IF(OR($A63="",5&gt;Paramètres!$B$9),"",SUMIF(Calculs!$B$8:$B$247,$A63,Calculs!$AB$8:$AB$247))</f>
        <v/>
      </c>
      <c r="H63" s="26" t="str">
        <f>IF(OR($A63="",6&gt;Paramètres!$B$9),"",SUMIF(Calculs!$B$8:$B$247,$A63,Calculs!$AC$8:$AC$247))</f>
        <v/>
      </c>
      <c r="I63" s="26" t="str">
        <f>IF(OR($A63="",7&gt;Paramètres!$B$9),"",SUMIF(Calculs!$B$8:$B$247,$A63,Calculs!$AD$8:$AD$247))</f>
        <v/>
      </c>
      <c r="J63" s="26" t="str">
        <f>IF(OR($A63="",8&gt;Paramètres!$B$9),"",SUMIF(Calculs!$B$8:$B$247,$A63,Calculs!$AE$8:$AE$247))</f>
        <v/>
      </c>
      <c r="K63" s="26" t="str">
        <f>IF(OR($A63="",9&gt;Paramètres!$B$9),"",SUMIF(Calculs!$B$8:$B$247,$A63,Calculs!$AF$8:$AF$247))</f>
        <v/>
      </c>
      <c r="L63" s="26" t="str">
        <f>IF(OR($A63="",10&gt;Paramètres!$B$9),"",SUMIF(Calculs!$B$8:$B$247,$A63,Calculs!$AG$8:$AG$247))</f>
        <v/>
      </c>
      <c r="M63" s="26" t="str">
        <f>IF(OR($A63="",11&gt;Paramètres!$B$9),"",SUMIF(Calculs!$B$8:$B$247,$A63,Calculs!$AH$8:$AH$247))</f>
        <v/>
      </c>
      <c r="N63" s="26" t="str">
        <f>IF(OR($A63="",12&gt;Paramètres!$B$9),"",SUMIF(Calculs!$B$8:$B$247,$A63,Calculs!$AI$8:$AI$247))</f>
        <v/>
      </c>
      <c r="O63" s="26" t="str">
        <f>IF(OR($A63="",13&gt;Paramètres!$B$9),"",SUMIF(Calculs!$B$8:$B$247,$A63,Calculs!$AJ$8:$AJ$247))</f>
        <v/>
      </c>
    </row>
    <row r="64" ht="28" customHeight="1">
      <c r="A64" s="25" t="str">
        <f>IF(Personnes!A19="","",Personnes!A19)</f>
        <v/>
      </c>
      <c r="B64" s="25" t="str">
        <f>IF(A64="","",Personnes!B19)</f>
        <v/>
      </c>
      <c r="C64" s="24" t="str">
        <f>IF(OR($A64="",1&gt;Paramètres!$B$9),"",SUMIF(Calculs!$B$8:$B$247,$A64,Calculs!$X$8:$X$247))</f>
        <v/>
      </c>
      <c r="D64" s="24" t="str">
        <f>IF(OR($A64="",2&gt;Paramètres!$B$9),"",SUMIF(Calculs!$B$8:$B$247,$A64,Calculs!$Y$8:$Y$247))</f>
        <v/>
      </c>
      <c r="E64" s="24" t="str">
        <f>IF(OR($A64="",3&gt;Paramètres!$B$9),"",SUMIF(Calculs!$B$8:$B$247,$A64,Calculs!$Z$8:$Z$247))</f>
        <v/>
      </c>
      <c r="F64" s="24" t="str">
        <f>IF(OR($A64="",4&gt;Paramètres!$B$9),"",SUMIF(Calculs!$B$8:$B$247,$A64,Calculs!$AA$8:$AA$247))</f>
        <v/>
      </c>
      <c r="G64" s="24" t="str">
        <f>IF(OR($A64="",5&gt;Paramètres!$B$9),"",SUMIF(Calculs!$B$8:$B$247,$A64,Calculs!$AB$8:$AB$247))</f>
        <v/>
      </c>
      <c r="H64" s="24" t="str">
        <f>IF(OR($A64="",6&gt;Paramètres!$B$9),"",SUMIF(Calculs!$B$8:$B$247,$A64,Calculs!$AC$8:$AC$247))</f>
        <v/>
      </c>
      <c r="I64" s="24" t="str">
        <f>IF(OR($A64="",7&gt;Paramètres!$B$9),"",SUMIF(Calculs!$B$8:$B$247,$A64,Calculs!$AD$8:$AD$247))</f>
        <v/>
      </c>
      <c r="J64" s="24" t="str">
        <f>IF(OR($A64="",8&gt;Paramètres!$B$9),"",SUMIF(Calculs!$B$8:$B$247,$A64,Calculs!$AE$8:$AE$247))</f>
        <v/>
      </c>
      <c r="K64" s="24" t="str">
        <f>IF(OR($A64="",9&gt;Paramètres!$B$9),"",SUMIF(Calculs!$B$8:$B$247,$A64,Calculs!$AF$8:$AF$247))</f>
        <v/>
      </c>
      <c r="L64" s="24" t="str">
        <f>IF(OR($A64="",10&gt;Paramètres!$B$9),"",SUMIF(Calculs!$B$8:$B$247,$A64,Calculs!$AG$8:$AG$247))</f>
        <v/>
      </c>
      <c r="M64" s="24" t="str">
        <f>IF(OR($A64="",11&gt;Paramètres!$B$9),"",SUMIF(Calculs!$B$8:$B$247,$A64,Calculs!$AH$8:$AH$247))</f>
        <v/>
      </c>
      <c r="N64" s="24" t="str">
        <f>IF(OR($A64="",12&gt;Paramètres!$B$9),"",SUMIF(Calculs!$B$8:$B$247,$A64,Calculs!$AI$8:$AI$247))</f>
        <v/>
      </c>
      <c r="O64" s="24" t="str">
        <f>IF(OR($A64="",13&gt;Paramètres!$B$9),"",SUMIF(Calculs!$B$8:$B$247,$A64,Calculs!$AJ$8:$AJ$247))</f>
        <v/>
      </c>
    </row>
    <row r="65" ht="28" customHeight="1">
      <c r="A65" s="27" t="str">
        <f>IF(Personnes!A20="","",Personnes!A20)</f>
        <v/>
      </c>
      <c r="B65" s="27" t="str">
        <f>IF(A65="","",Personnes!B20)</f>
        <v/>
      </c>
      <c r="C65" s="26" t="str">
        <f>IF(OR($A65="",1&gt;Paramètres!$B$9),"",SUMIF(Calculs!$B$8:$B$247,$A65,Calculs!$X$8:$X$247))</f>
        <v/>
      </c>
      <c r="D65" s="26" t="str">
        <f>IF(OR($A65="",2&gt;Paramètres!$B$9),"",SUMIF(Calculs!$B$8:$B$247,$A65,Calculs!$Y$8:$Y$247))</f>
        <v/>
      </c>
      <c r="E65" s="26" t="str">
        <f>IF(OR($A65="",3&gt;Paramètres!$B$9),"",SUMIF(Calculs!$B$8:$B$247,$A65,Calculs!$Z$8:$Z$247))</f>
        <v/>
      </c>
      <c r="F65" s="26" t="str">
        <f>IF(OR($A65="",4&gt;Paramètres!$B$9),"",SUMIF(Calculs!$B$8:$B$247,$A65,Calculs!$AA$8:$AA$247))</f>
        <v/>
      </c>
      <c r="G65" s="26" t="str">
        <f>IF(OR($A65="",5&gt;Paramètres!$B$9),"",SUMIF(Calculs!$B$8:$B$247,$A65,Calculs!$AB$8:$AB$247))</f>
        <v/>
      </c>
      <c r="H65" s="26" t="str">
        <f>IF(OR($A65="",6&gt;Paramètres!$B$9),"",SUMIF(Calculs!$B$8:$B$247,$A65,Calculs!$AC$8:$AC$247))</f>
        <v/>
      </c>
      <c r="I65" s="26" t="str">
        <f>IF(OR($A65="",7&gt;Paramètres!$B$9),"",SUMIF(Calculs!$B$8:$B$247,$A65,Calculs!$AD$8:$AD$247))</f>
        <v/>
      </c>
      <c r="J65" s="26" t="str">
        <f>IF(OR($A65="",8&gt;Paramètres!$B$9),"",SUMIF(Calculs!$B$8:$B$247,$A65,Calculs!$AE$8:$AE$247))</f>
        <v/>
      </c>
      <c r="K65" s="26" t="str">
        <f>IF(OR($A65="",9&gt;Paramètres!$B$9),"",SUMIF(Calculs!$B$8:$B$247,$A65,Calculs!$AF$8:$AF$247))</f>
        <v/>
      </c>
      <c r="L65" s="26" t="str">
        <f>IF(OR($A65="",10&gt;Paramètres!$B$9),"",SUMIF(Calculs!$B$8:$B$247,$A65,Calculs!$AG$8:$AG$247))</f>
        <v/>
      </c>
      <c r="M65" s="26" t="str">
        <f>IF(OR($A65="",11&gt;Paramètres!$B$9),"",SUMIF(Calculs!$B$8:$B$247,$A65,Calculs!$AH$8:$AH$247))</f>
        <v/>
      </c>
      <c r="N65" s="26" t="str">
        <f>IF(OR($A65="",12&gt;Paramètres!$B$9),"",SUMIF(Calculs!$B$8:$B$247,$A65,Calculs!$AI$8:$AI$247))</f>
        <v/>
      </c>
      <c r="O65" s="26" t="str">
        <f>IF(OR($A65="",13&gt;Paramètres!$B$9),"",SUMIF(Calculs!$B$8:$B$247,$A65,Calculs!$AJ$8:$AJ$247))</f>
        <v/>
      </c>
    </row>
    <row r="66" ht="28" customHeight="1">
      <c r="A66" s="25" t="str">
        <f>IF(Personnes!A21="","",Personnes!A21)</f>
        <v/>
      </c>
      <c r="B66" s="25" t="str">
        <f>IF(A66="","",Personnes!B21)</f>
        <v/>
      </c>
      <c r="C66" s="24" t="str">
        <f>IF(OR($A66="",1&gt;Paramètres!$B$9),"",SUMIF(Calculs!$B$8:$B$247,$A66,Calculs!$X$8:$X$247))</f>
        <v/>
      </c>
      <c r="D66" s="24" t="str">
        <f>IF(OR($A66="",2&gt;Paramètres!$B$9),"",SUMIF(Calculs!$B$8:$B$247,$A66,Calculs!$Y$8:$Y$247))</f>
        <v/>
      </c>
      <c r="E66" s="24" t="str">
        <f>IF(OR($A66="",3&gt;Paramètres!$B$9),"",SUMIF(Calculs!$B$8:$B$247,$A66,Calculs!$Z$8:$Z$247))</f>
        <v/>
      </c>
      <c r="F66" s="24" t="str">
        <f>IF(OR($A66="",4&gt;Paramètres!$B$9),"",SUMIF(Calculs!$B$8:$B$247,$A66,Calculs!$AA$8:$AA$247))</f>
        <v/>
      </c>
      <c r="G66" s="24" t="str">
        <f>IF(OR($A66="",5&gt;Paramètres!$B$9),"",SUMIF(Calculs!$B$8:$B$247,$A66,Calculs!$AB$8:$AB$247))</f>
        <v/>
      </c>
      <c r="H66" s="24" t="str">
        <f>IF(OR($A66="",6&gt;Paramètres!$B$9),"",SUMIF(Calculs!$B$8:$B$247,$A66,Calculs!$AC$8:$AC$247))</f>
        <v/>
      </c>
      <c r="I66" s="24" t="str">
        <f>IF(OR($A66="",7&gt;Paramètres!$B$9),"",SUMIF(Calculs!$B$8:$B$247,$A66,Calculs!$AD$8:$AD$247))</f>
        <v/>
      </c>
      <c r="J66" s="24" t="str">
        <f>IF(OR($A66="",8&gt;Paramètres!$B$9),"",SUMIF(Calculs!$B$8:$B$247,$A66,Calculs!$AE$8:$AE$247))</f>
        <v/>
      </c>
      <c r="K66" s="24" t="str">
        <f>IF(OR($A66="",9&gt;Paramètres!$B$9),"",SUMIF(Calculs!$B$8:$B$247,$A66,Calculs!$AF$8:$AF$247))</f>
        <v/>
      </c>
      <c r="L66" s="24" t="str">
        <f>IF(OR($A66="",10&gt;Paramètres!$B$9),"",SUMIF(Calculs!$B$8:$B$247,$A66,Calculs!$AG$8:$AG$247))</f>
        <v/>
      </c>
      <c r="M66" s="24" t="str">
        <f>IF(OR($A66="",11&gt;Paramètres!$B$9),"",SUMIF(Calculs!$B$8:$B$247,$A66,Calculs!$AH$8:$AH$247))</f>
        <v/>
      </c>
      <c r="N66" s="24" t="str">
        <f>IF(OR($A66="",12&gt;Paramètres!$B$9),"",SUMIF(Calculs!$B$8:$B$247,$A66,Calculs!$AI$8:$AI$247))</f>
        <v/>
      </c>
      <c r="O66" s="24" t="str">
        <f>IF(OR($A66="",13&gt;Paramètres!$B$9),"",SUMIF(Calculs!$B$8:$B$247,$A66,Calculs!$AJ$8:$AJ$247))</f>
        <v/>
      </c>
    </row>
    <row r="67" ht="28" customHeight="1">
      <c r="A67" s="27" t="str">
        <f>IF(Personnes!A22="","",Personnes!A22)</f>
        <v/>
      </c>
      <c r="B67" s="27" t="str">
        <f>IF(A67="","",Personnes!B22)</f>
        <v/>
      </c>
      <c r="C67" s="26" t="str">
        <f>IF(OR($A67="",1&gt;Paramètres!$B$9),"",SUMIF(Calculs!$B$8:$B$247,$A67,Calculs!$X$8:$X$247))</f>
        <v/>
      </c>
      <c r="D67" s="26" t="str">
        <f>IF(OR($A67="",2&gt;Paramètres!$B$9),"",SUMIF(Calculs!$B$8:$B$247,$A67,Calculs!$Y$8:$Y$247))</f>
        <v/>
      </c>
      <c r="E67" s="26" t="str">
        <f>IF(OR($A67="",3&gt;Paramètres!$B$9),"",SUMIF(Calculs!$B$8:$B$247,$A67,Calculs!$Z$8:$Z$247))</f>
        <v/>
      </c>
      <c r="F67" s="26" t="str">
        <f>IF(OR($A67="",4&gt;Paramètres!$B$9),"",SUMIF(Calculs!$B$8:$B$247,$A67,Calculs!$AA$8:$AA$247))</f>
        <v/>
      </c>
      <c r="G67" s="26" t="str">
        <f>IF(OR($A67="",5&gt;Paramètres!$B$9),"",SUMIF(Calculs!$B$8:$B$247,$A67,Calculs!$AB$8:$AB$247))</f>
        <v/>
      </c>
      <c r="H67" s="26" t="str">
        <f>IF(OR($A67="",6&gt;Paramètres!$B$9),"",SUMIF(Calculs!$B$8:$B$247,$A67,Calculs!$AC$8:$AC$247))</f>
        <v/>
      </c>
      <c r="I67" s="26" t="str">
        <f>IF(OR($A67="",7&gt;Paramètres!$B$9),"",SUMIF(Calculs!$B$8:$B$247,$A67,Calculs!$AD$8:$AD$247))</f>
        <v/>
      </c>
      <c r="J67" s="26" t="str">
        <f>IF(OR($A67="",8&gt;Paramètres!$B$9),"",SUMIF(Calculs!$B$8:$B$247,$A67,Calculs!$AE$8:$AE$247))</f>
        <v/>
      </c>
      <c r="K67" s="26" t="str">
        <f>IF(OR($A67="",9&gt;Paramètres!$B$9),"",SUMIF(Calculs!$B$8:$B$247,$A67,Calculs!$AF$8:$AF$247))</f>
        <v/>
      </c>
      <c r="L67" s="26" t="str">
        <f>IF(OR($A67="",10&gt;Paramètres!$B$9),"",SUMIF(Calculs!$B$8:$B$247,$A67,Calculs!$AG$8:$AG$247))</f>
        <v/>
      </c>
      <c r="M67" s="26" t="str">
        <f>IF(OR($A67="",11&gt;Paramètres!$B$9),"",SUMIF(Calculs!$B$8:$B$247,$A67,Calculs!$AH$8:$AH$247))</f>
        <v/>
      </c>
      <c r="N67" s="26" t="str">
        <f>IF(OR($A67="",12&gt;Paramètres!$B$9),"",SUMIF(Calculs!$B$8:$B$247,$A67,Calculs!$AI$8:$AI$247))</f>
        <v/>
      </c>
      <c r="O67" s="26" t="str">
        <f>IF(OR($A67="",13&gt;Paramètres!$B$9),"",SUMIF(Calculs!$B$8:$B$247,$A67,Calculs!$AJ$8:$AJ$247))</f>
        <v/>
      </c>
    </row>
    <row r="68" ht="28" customHeight="1">
      <c r="A68" s="25" t="str">
        <f>IF(Personnes!A23="","",Personnes!A23)</f>
        <v/>
      </c>
      <c r="B68" s="25" t="str">
        <f>IF(A68="","",Personnes!B23)</f>
        <v/>
      </c>
      <c r="C68" s="24" t="str">
        <f>IF(OR($A68="",1&gt;Paramètres!$B$9),"",SUMIF(Calculs!$B$8:$B$247,$A68,Calculs!$X$8:$X$247))</f>
        <v/>
      </c>
      <c r="D68" s="24" t="str">
        <f>IF(OR($A68="",2&gt;Paramètres!$B$9),"",SUMIF(Calculs!$B$8:$B$247,$A68,Calculs!$Y$8:$Y$247))</f>
        <v/>
      </c>
      <c r="E68" s="24" t="str">
        <f>IF(OR($A68="",3&gt;Paramètres!$B$9),"",SUMIF(Calculs!$B$8:$B$247,$A68,Calculs!$Z$8:$Z$247))</f>
        <v/>
      </c>
      <c r="F68" s="24" t="str">
        <f>IF(OR($A68="",4&gt;Paramètres!$B$9),"",SUMIF(Calculs!$B$8:$B$247,$A68,Calculs!$AA$8:$AA$247))</f>
        <v/>
      </c>
      <c r="G68" s="24" t="str">
        <f>IF(OR($A68="",5&gt;Paramètres!$B$9),"",SUMIF(Calculs!$B$8:$B$247,$A68,Calculs!$AB$8:$AB$247))</f>
        <v/>
      </c>
      <c r="H68" s="24" t="str">
        <f>IF(OR($A68="",6&gt;Paramètres!$B$9),"",SUMIF(Calculs!$B$8:$B$247,$A68,Calculs!$AC$8:$AC$247))</f>
        <v/>
      </c>
      <c r="I68" s="24" t="str">
        <f>IF(OR($A68="",7&gt;Paramètres!$B$9),"",SUMIF(Calculs!$B$8:$B$247,$A68,Calculs!$AD$8:$AD$247))</f>
        <v/>
      </c>
      <c r="J68" s="24" t="str">
        <f>IF(OR($A68="",8&gt;Paramètres!$B$9),"",SUMIF(Calculs!$B$8:$B$247,$A68,Calculs!$AE$8:$AE$247))</f>
        <v/>
      </c>
      <c r="K68" s="24" t="str">
        <f>IF(OR($A68="",9&gt;Paramètres!$B$9),"",SUMIF(Calculs!$B$8:$B$247,$A68,Calculs!$AF$8:$AF$247))</f>
        <v/>
      </c>
      <c r="L68" s="24" t="str">
        <f>IF(OR($A68="",10&gt;Paramètres!$B$9),"",SUMIF(Calculs!$B$8:$B$247,$A68,Calculs!$AG$8:$AG$247))</f>
        <v/>
      </c>
      <c r="M68" s="24" t="str">
        <f>IF(OR($A68="",11&gt;Paramètres!$B$9),"",SUMIF(Calculs!$B$8:$B$247,$A68,Calculs!$AH$8:$AH$247))</f>
        <v/>
      </c>
      <c r="N68" s="24" t="str">
        <f>IF(OR($A68="",12&gt;Paramètres!$B$9),"",SUMIF(Calculs!$B$8:$B$247,$A68,Calculs!$AI$8:$AI$247))</f>
        <v/>
      </c>
      <c r="O68" s="24" t="str">
        <f>IF(OR($A68="",13&gt;Paramètres!$B$9),"",SUMIF(Calculs!$B$8:$B$247,$A68,Calculs!$AJ$8:$AJ$247))</f>
        <v/>
      </c>
    </row>
    <row r="69" ht="28" customHeight="1">
      <c r="A69" s="27" t="str">
        <f>IF(Personnes!A24="","",Personnes!A24)</f>
        <v/>
      </c>
      <c r="B69" s="27" t="str">
        <f>IF(A69="","",Personnes!B24)</f>
        <v/>
      </c>
      <c r="C69" s="26" t="str">
        <f>IF(OR($A69="",1&gt;Paramètres!$B$9),"",SUMIF(Calculs!$B$8:$B$247,$A69,Calculs!$X$8:$X$247))</f>
        <v/>
      </c>
      <c r="D69" s="26" t="str">
        <f>IF(OR($A69="",2&gt;Paramètres!$B$9),"",SUMIF(Calculs!$B$8:$B$247,$A69,Calculs!$Y$8:$Y$247))</f>
        <v/>
      </c>
      <c r="E69" s="26" t="str">
        <f>IF(OR($A69="",3&gt;Paramètres!$B$9),"",SUMIF(Calculs!$B$8:$B$247,$A69,Calculs!$Z$8:$Z$247))</f>
        <v/>
      </c>
      <c r="F69" s="26" t="str">
        <f>IF(OR($A69="",4&gt;Paramètres!$B$9),"",SUMIF(Calculs!$B$8:$B$247,$A69,Calculs!$AA$8:$AA$247))</f>
        <v/>
      </c>
      <c r="G69" s="26" t="str">
        <f>IF(OR($A69="",5&gt;Paramètres!$B$9),"",SUMIF(Calculs!$B$8:$B$247,$A69,Calculs!$AB$8:$AB$247))</f>
        <v/>
      </c>
      <c r="H69" s="26" t="str">
        <f>IF(OR($A69="",6&gt;Paramètres!$B$9),"",SUMIF(Calculs!$B$8:$B$247,$A69,Calculs!$AC$8:$AC$247))</f>
        <v/>
      </c>
      <c r="I69" s="26" t="str">
        <f>IF(OR($A69="",7&gt;Paramètres!$B$9),"",SUMIF(Calculs!$B$8:$B$247,$A69,Calculs!$AD$8:$AD$247))</f>
        <v/>
      </c>
      <c r="J69" s="26" t="str">
        <f>IF(OR($A69="",8&gt;Paramètres!$B$9),"",SUMIF(Calculs!$B$8:$B$247,$A69,Calculs!$AE$8:$AE$247))</f>
        <v/>
      </c>
      <c r="K69" s="26" t="str">
        <f>IF(OR($A69="",9&gt;Paramètres!$B$9),"",SUMIF(Calculs!$B$8:$B$247,$A69,Calculs!$AF$8:$AF$247))</f>
        <v/>
      </c>
      <c r="L69" s="26" t="str">
        <f>IF(OR($A69="",10&gt;Paramètres!$B$9),"",SUMIF(Calculs!$B$8:$B$247,$A69,Calculs!$AG$8:$AG$247))</f>
        <v/>
      </c>
      <c r="M69" s="26" t="str">
        <f>IF(OR($A69="",11&gt;Paramètres!$B$9),"",SUMIF(Calculs!$B$8:$B$247,$A69,Calculs!$AH$8:$AH$247))</f>
        <v/>
      </c>
      <c r="N69" s="26" t="str">
        <f>IF(OR($A69="",12&gt;Paramètres!$B$9),"",SUMIF(Calculs!$B$8:$B$247,$A69,Calculs!$AI$8:$AI$247))</f>
        <v/>
      </c>
      <c r="O69" s="26" t="str">
        <f>IF(OR($A69="",13&gt;Paramètres!$B$9),"",SUMIF(Calculs!$B$8:$B$247,$A69,Calculs!$AJ$8:$AJ$247))</f>
        <v/>
      </c>
    </row>
    <row r="70" ht="28" customHeight="1">
      <c r="A70" s="25" t="str">
        <f>IF(Personnes!A25="","",Personnes!A25)</f>
        <v/>
      </c>
      <c r="B70" s="25" t="str">
        <f>IF(A70="","",Personnes!B25)</f>
        <v/>
      </c>
      <c r="C70" s="24" t="str">
        <f>IF(OR($A70="",1&gt;Paramètres!$B$9),"",SUMIF(Calculs!$B$8:$B$247,$A70,Calculs!$X$8:$X$247))</f>
        <v/>
      </c>
      <c r="D70" s="24" t="str">
        <f>IF(OR($A70="",2&gt;Paramètres!$B$9),"",SUMIF(Calculs!$B$8:$B$247,$A70,Calculs!$Y$8:$Y$247))</f>
        <v/>
      </c>
      <c r="E70" s="24" t="str">
        <f>IF(OR($A70="",3&gt;Paramètres!$B$9),"",SUMIF(Calculs!$B$8:$B$247,$A70,Calculs!$Z$8:$Z$247))</f>
        <v/>
      </c>
      <c r="F70" s="24" t="str">
        <f>IF(OR($A70="",4&gt;Paramètres!$B$9),"",SUMIF(Calculs!$B$8:$B$247,$A70,Calculs!$AA$8:$AA$247))</f>
        <v/>
      </c>
      <c r="G70" s="24" t="str">
        <f>IF(OR($A70="",5&gt;Paramètres!$B$9),"",SUMIF(Calculs!$B$8:$B$247,$A70,Calculs!$AB$8:$AB$247))</f>
        <v/>
      </c>
      <c r="H70" s="24" t="str">
        <f>IF(OR($A70="",6&gt;Paramètres!$B$9),"",SUMIF(Calculs!$B$8:$B$247,$A70,Calculs!$AC$8:$AC$247))</f>
        <v/>
      </c>
      <c r="I70" s="24" t="str">
        <f>IF(OR($A70="",7&gt;Paramètres!$B$9),"",SUMIF(Calculs!$B$8:$B$247,$A70,Calculs!$AD$8:$AD$247))</f>
        <v/>
      </c>
      <c r="J70" s="24" t="str">
        <f>IF(OR($A70="",8&gt;Paramètres!$B$9),"",SUMIF(Calculs!$B$8:$B$247,$A70,Calculs!$AE$8:$AE$247))</f>
        <v/>
      </c>
      <c r="K70" s="24" t="str">
        <f>IF(OR($A70="",9&gt;Paramètres!$B$9),"",SUMIF(Calculs!$B$8:$B$247,$A70,Calculs!$AF$8:$AF$247))</f>
        <v/>
      </c>
      <c r="L70" s="24" t="str">
        <f>IF(OR($A70="",10&gt;Paramètres!$B$9),"",SUMIF(Calculs!$B$8:$B$247,$A70,Calculs!$AG$8:$AG$247))</f>
        <v/>
      </c>
      <c r="M70" s="24" t="str">
        <f>IF(OR($A70="",11&gt;Paramètres!$B$9),"",SUMIF(Calculs!$B$8:$B$247,$A70,Calculs!$AH$8:$AH$247))</f>
        <v/>
      </c>
      <c r="N70" s="24" t="str">
        <f>IF(OR($A70="",12&gt;Paramètres!$B$9),"",SUMIF(Calculs!$B$8:$B$247,$A70,Calculs!$AI$8:$AI$247))</f>
        <v/>
      </c>
      <c r="O70" s="24" t="str">
        <f>IF(OR($A70="",13&gt;Paramètres!$B$9),"",SUMIF(Calculs!$B$8:$B$247,$A70,Calculs!$AJ$8:$AJ$247))</f>
        <v/>
      </c>
    </row>
    <row r="71" ht="28" customHeight="1">
      <c r="A71" s="27" t="str">
        <f>IF(Personnes!A26="","",Personnes!A26)</f>
        <v/>
      </c>
      <c r="B71" s="27" t="str">
        <f>IF(A71="","",Personnes!B26)</f>
        <v/>
      </c>
      <c r="C71" s="26" t="str">
        <f>IF(OR($A71="",1&gt;Paramètres!$B$9),"",SUMIF(Calculs!$B$8:$B$247,$A71,Calculs!$X$8:$X$247))</f>
        <v/>
      </c>
      <c r="D71" s="26" t="str">
        <f>IF(OR($A71="",2&gt;Paramètres!$B$9),"",SUMIF(Calculs!$B$8:$B$247,$A71,Calculs!$Y$8:$Y$247))</f>
        <v/>
      </c>
      <c r="E71" s="26" t="str">
        <f>IF(OR($A71="",3&gt;Paramètres!$B$9),"",SUMIF(Calculs!$B$8:$B$247,$A71,Calculs!$Z$8:$Z$247))</f>
        <v/>
      </c>
      <c r="F71" s="26" t="str">
        <f>IF(OR($A71="",4&gt;Paramètres!$B$9),"",SUMIF(Calculs!$B$8:$B$247,$A71,Calculs!$AA$8:$AA$247))</f>
        <v/>
      </c>
      <c r="G71" s="26" t="str">
        <f>IF(OR($A71="",5&gt;Paramètres!$B$9),"",SUMIF(Calculs!$B$8:$B$247,$A71,Calculs!$AB$8:$AB$247))</f>
        <v/>
      </c>
      <c r="H71" s="26" t="str">
        <f>IF(OR($A71="",6&gt;Paramètres!$B$9),"",SUMIF(Calculs!$B$8:$B$247,$A71,Calculs!$AC$8:$AC$247))</f>
        <v/>
      </c>
      <c r="I71" s="26" t="str">
        <f>IF(OR($A71="",7&gt;Paramètres!$B$9),"",SUMIF(Calculs!$B$8:$B$247,$A71,Calculs!$AD$8:$AD$247))</f>
        <v/>
      </c>
      <c r="J71" s="26" t="str">
        <f>IF(OR($A71="",8&gt;Paramètres!$B$9),"",SUMIF(Calculs!$B$8:$B$247,$A71,Calculs!$AE$8:$AE$247))</f>
        <v/>
      </c>
      <c r="K71" s="26" t="str">
        <f>IF(OR($A71="",9&gt;Paramètres!$B$9),"",SUMIF(Calculs!$B$8:$B$247,$A71,Calculs!$AF$8:$AF$247))</f>
        <v/>
      </c>
      <c r="L71" s="26" t="str">
        <f>IF(OR($A71="",10&gt;Paramètres!$B$9),"",SUMIF(Calculs!$B$8:$B$247,$A71,Calculs!$AG$8:$AG$247))</f>
        <v/>
      </c>
      <c r="M71" s="26" t="str">
        <f>IF(OR($A71="",11&gt;Paramètres!$B$9),"",SUMIF(Calculs!$B$8:$B$247,$A71,Calculs!$AH$8:$AH$247))</f>
        <v/>
      </c>
      <c r="N71" s="26" t="str">
        <f>IF(OR($A71="",12&gt;Paramètres!$B$9),"",SUMIF(Calculs!$B$8:$B$247,$A71,Calculs!$AI$8:$AI$247))</f>
        <v/>
      </c>
      <c r="O71" s="26" t="str">
        <f>IF(OR($A71="",13&gt;Paramètres!$B$9),"",SUMIF(Calculs!$B$8:$B$247,$A71,Calculs!$AJ$8:$AJ$247))</f>
        <v/>
      </c>
    </row>
    <row r="72" ht="28" customHeight="1">
      <c r="A72" s="25" t="str">
        <f>IF(Personnes!A27="","",Personnes!A27)</f>
        <v/>
      </c>
      <c r="B72" s="25" t="str">
        <f>IF(A72="","",Personnes!B27)</f>
        <v/>
      </c>
      <c r="C72" s="24" t="str">
        <f>IF(OR($A72="",1&gt;Paramètres!$B$9),"",SUMIF(Calculs!$B$8:$B$247,$A72,Calculs!$X$8:$X$247))</f>
        <v/>
      </c>
      <c r="D72" s="24" t="str">
        <f>IF(OR($A72="",2&gt;Paramètres!$B$9),"",SUMIF(Calculs!$B$8:$B$247,$A72,Calculs!$Y$8:$Y$247))</f>
        <v/>
      </c>
      <c r="E72" s="24" t="str">
        <f>IF(OR($A72="",3&gt;Paramètres!$B$9),"",SUMIF(Calculs!$B$8:$B$247,$A72,Calculs!$Z$8:$Z$247))</f>
        <v/>
      </c>
      <c r="F72" s="24" t="str">
        <f>IF(OR($A72="",4&gt;Paramètres!$B$9),"",SUMIF(Calculs!$B$8:$B$247,$A72,Calculs!$AA$8:$AA$247))</f>
        <v/>
      </c>
      <c r="G72" s="24" t="str">
        <f>IF(OR($A72="",5&gt;Paramètres!$B$9),"",SUMIF(Calculs!$B$8:$B$247,$A72,Calculs!$AB$8:$AB$247))</f>
        <v/>
      </c>
      <c r="H72" s="24" t="str">
        <f>IF(OR($A72="",6&gt;Paramètres!$B$9),"",SUMIF(Calculs!$B$8:$B$247,$A72,Calculs!$AC$8:$AC$247))</f>
        <v/>
      </c>
      <c r="I72" s="24" t="str">
        <f>IF(OR($A72="",7&gt;Paramètres!$B$9),"",SUMIF(Calculs!$B$8:$B$247,$A72,Calculs!$AD$8:$AD$247))</f>
        <v/>
      </c>
      <c r="J72" s="24" t="str">
        <f>IF(OR($A72="",8&gt;Paramètres!$B$9),"",SUMIF(Calculs!$B$8:$B$247,$A72,Calculs!$AE$8:$AE$247))</f>
        <v/>
      </c>
      <c r="K72" s="24" t="str">
        <f>IF(OR($A72="",9&gt;Paramètres!$B$9),"",SUMIF(Calculs!$B$8:$B$247,$A72,Calculs!$AF$8:$AF$247))</f>
        <v/>
      </c>
      <c r="L72" s="24" t="str">
        <f>IF(OR($A72="",10&gt;Paramètres!$B$9),"",SUMIF(Calculs!$B$8:$B$247,$A72,Calculs!$AG$8:$AG$247))</f>
        <v/>
      </c>
      <c r="M72" s="24" t="str">
        <f>IF(OR($A72="",11&gt;Paramètres!$B$9),"",SUMIF(Calculs!$B$8:$B$247,$A72,Calculs!$AH$8:$AH$247))</f>
        <v/>
      </c>
      <c r="N72" s="24" t="str">
        <f>IF(OR($A72="",12&gt;Paramètres!$B$9),"",SUMIF(Calculs!$B$8:$B$247,$A72,Calculs!$AI$8:$AI$247))</f>
        <v/>
      </c>
      <c r="O72" s="24" t="str">
        <f>IF(OR($A72="",13&gt;Paramètres!$B$9),"",SUMIF(Calculs!$B$8:$B$247,$A72,Calculs!$AJ$8:$AJ$247))</f>
        <v/>
      </c>
    </row>
    <row r="73" ht="28" customHeight="1">
      <c r="A73" s="27" t="str">
        <f>IF(Personnes!A28="","",Personnes!A28)</f>
        <v/>
      </c>
      <c r="B73" s="27" t="str">
        <f>IF(A73="","",Personnes!B28)</f>
        <v/>
      </c>
      <c r="C73" s="26" t="str">
        <f>IF(OR($A73="",1&gt;Paramètres!$B$9),"",SUMIF(Calculs!$B$8:$B$247,$A73,Calculs!$X$8:$X$247))</f>
        <v/>
      </c>
      <c r="D73" s="26" t="str">
        <f>IF(OR($A73="",2&gt;Paramètres!$B$9),"",SUMIF(Calculs!$B$8:$B$247,$A73,Calculs!$Y$8:$Y$247))</f>
        <v/>
      </c>
      <c r="E73" s="26" t="str">
        <f>IF(OR($A73="",3&gt;Paramètres!$B$9),"",SUMIF(Calculs!$B$8:$B$247,$A73,Calculs!$Z$8:$Z$247))</f>
        <v/>
      </c>
      <c r="F73" s="26" t="str">
        <f>IF(OR($A73="",4&gt;Paramètres!$B$9),"",SUMIF(Calculs!$B$8:$B$247,$A73,Calculs!$AA$8:$AA$247))</f>
        <v/>
      </c>
      <c r="G73" s="26" t="str">
        <f>IF(OR($A73="",5&gt;Paramètres!$B$9),"",SUMIF(Calculs!$B$8:$B$247,$A73,Calculs!$AB$8:$AB$247))</f>
        <v/>
      </c>
      <c r="H73" s="26" t="str">
        <f>IF(OR($A73="",6&gt;Paramètres!$B$9),"",SUMIF(Calculs!$B$8:$B$247,$A73,Calculs!$AC$8:$AC$247))</f>
        <v/>
      </c>
      <c r="I73" s="26" t="str">
        <f>IF(OR($A73="",7&gt;Paramètres!$B$9),"",SUMIF(Calculs!$B$8:$B$247,$A73,Calculs!$AD$8:$AD$247))</f>
        <v/>
      </c>
      <c r="J73" s="26" t="str">
        <f>IF(OR($A73="",8&gt;Paramètres!$B$9),"",SUMIF(Calculs!$B$8:$B$247,$A73,Calculs!$AE$8:$AE$247))</f>
        <v/>
      </c>
      <c r="K73" s="26" t="str">
        <f>IF(OR($A73="",9&gt;Paramètres!$B$9),"",SUMIF(Calculs!$B$8:$B$247,$A73,Calculs!$AF$8:$AF$247))</f>
        <v/>
      </c>
      <c r="L73" s="26" t="str">
        <f>IF(OR($A73="",10&gt;Paramètres!$B$9),"",SUMIF(Calculs!$B$8:$B$247,$A73,Calculs!$AG$8:$AG$247))</f>
        <v/>
      </c>
      <c r="M73" s="26" t="str">
        <f>IF(OR($A73="",11&gt;Paramètres!$B$9),"",SUMIF(Calculs!$B$8:$B$247,$A73,Calculs!$AH$8:$AH$247))</f>
        <v/>
      </c>
      <c r="N73" s="26" t="str">
        <f>IF(OR($A73="",12&gt;Paramètres!$B$9),"",SUMIF(Calculs!$B$8:$B$247,$A73,Calculs!$AI$8:$AI$247))</f>
        <v/>
      </c>
      <c r="O73" s="26" t="str">
        <f>IF(OR($A73="",13&gt;Paramètres!$B$9),"",SUMIF(Calculs!$B$8:$B$247,$A73,Calculs!$AJ$8:$AJ$247))</f>
        <v/>
      </c>
    </row>
    <row r="74" ht="28" customHeight="1">
      <c r="A74" s="25" t="str">
        <f>IF(Personnes!A29="","",Personnes!A29)</f>
        <v/>
      </c>
      <c r="B74" s="25" t="str">
        <f>IF(A74="","",Personnes!B29)</f>
        <v/>
      </c>
      <c r="C74" s="24" t="str">
        <f>IF(OR($A74="",1&gt;Paramètres!$B$9),"",SUMIF(Calculs!$B$8:$B$247,$A74,Calculs!$X$8:$X$247))</f>
        <v/>
      </c>
      <c r="D74" s="24" t="str">
        <f>IF(OR($A74="",2&gt;Paramètres!$B$9),"",SUMIF(Calculs!$B$8:$B$247,$A74,Calculs!$Y$8:$Y$247))</f>
        <v/>
      </c>
      <c r="E74" s="24" t="str">
        <f>IF(OR($A74="",3&gt;Paramètres!$B$9),"",SUMIF(Calculs!$B$8:$B$247,$A74,Calculs!$Z$8:$Z$247))</f>
        <v/>
      </c>
      <c r="F74" s="24" t="str">
        <f>IF(OR($A74="",4&gt;Paramètres!$B$9),"",SUMIF(Calculs!$B$8:$B$247,$A74,Calculs!$AA$8:$AA$247))</f>
        <v/>
      </c>
      <c r="G74" s="24" t="str">
        <f>IF(OR($A74="",5&gt;Paramètres!$B$9),"",SUMIF(Calculs!$B$8:$B$247,$A74,Calculs!$AB$8:$AB$247))</f>
        <v/>
      </c>
      <c r="H74" s="24" t="str">
        <f>IF(OR($A74="",6&gt;Paramètres!$B$9),"",SUMIF(Calculs!$B$8:$B$247,$A74,Calculs!$AC$8:$AC$247))</f>
        <v/>
      </c>
      <c r="I74" s="24" t="str">
        <f>IF(OR($A74="",7&gt;Paramètres!$B$9),"",SUMIF(Calculs!$B$8:$B$247,$A74,Calculs!$AD$8:$AD$247))</f>
        <v/>
      </c>
      <c r="J74" s="24" t="str">
        <f>IF(OR($A74="",8&gt;Paramètres!$B$9),"",SUMIF(Calculs!$B$8:$B$247,$A74,Calculs!$AE$8:$AE$247))</f>
        <v/>
      </c>
      <c r="K74" s="24" t="str">
        <f>IF(OR($A74="",9&gt;Paramètres!$B$9),"",SUMIF(Calculs!$B$8:$B$247,$A74,Calculs!$AF$8:$AF$247))</f>
        <v/>
      </c>
      <c r="L74" s="24" t="str">
        <f>IF(OR($A74="",10&gt;Paramètres!$B$9),"",SUMIF(Calculs!$B$8:$B$247,$A74,Calculs!$AG$8:$AG$247))</f>
        <v/>
      </c>
      <c r="M74" s="24" t="str">
        <f>IF(OR($A74="",11&gt;Paramètres!$B$9),"",SUMIF(Calculs!$B$8:$B$247,$A74,Calculs!$AH$8:$AH$247))</f>
        <v/>
      </c>
      <c r="N74" s="24" t="str">
        <f>IF(OR($A74="",12&gt;Paramètres!$B$9),"",SUMIF(Calculs!$B$8:$B$247,$A74,Calculs!$AI$8:$AI$247))</f>
        <v/>
      </c>
      <c r="O74" s="24" t="str">
        <f>IF(OR($A74="",13&gt;Paramètres!$B$9),"",SUMIF(Calculs!$B$8:$B$247,$A74,Calculs!$AJ$8:$AJ$247))</f>
        <v/>
      </c>
    </row>
    <row r="75" ht="28" customHeight="1">
      <c r="A75" s="27" t="str">
        <f>IF(Personnes!A30="","",Personnes!A30)</f>
        <v/>
      </c>
      <c r="B75" s="27" t="str">
        <f>IF(A75="","",Personnes!B30)</f>
        <v/>
      </c>
      <c r="C75" s="26" t="str">
        <f>IF(OR($A75="",1&gt;Paramètres!$B$9),"",SUMIF(Calculs!$B$8:$B$247,$A75,Calculs!$X$8:$X$247))</f>
        <v/>
      </c>
      <c r="D75" s="26" t="str">
        <f>IF(OR($A75="",2&gt;Paramètres!$B$9),"",SUMIF(Calculs!$B$8:$B$247,$A75,Calculs!$Y$8:$Y$247))</f>
        <v/>
      </c>
      <c r="E75" s="26" t="str">
        <f>IF(OR($A75="",3&gt;Paramètres!$B$9),"",SUMIF(Calculs!$B$8:$B$247,$A75,Calculs!$Z$8:$Z$247))</f>
        <v/>
      </c>
      <c r="F75" s="26" t="str">
        <f>IF(OR($A75="",4&gt;Paramètres!$B$9),"",SUMIF(Calculs!$B$8:$B$247,$A75,Calculs!$AA$8:$AA$247))</f>
        <v/>
      </c>
      <c r="G75" s="26" t="str">
        <f>IF(OR($A75="",5&gt;Paramètres!$B$9),"",SUMIF(Calculs!$B$8:$B$247,$A75,Calculs!$AB$8:$AB$247))</f>
        <v/>
      </c>
      <c r="H75" s="26" t="str">
        <f>IF(OR($A75="",6&gt;Paramètres!$B$9),"",SUMIF(Calculs!$B$8:$B$247,$A75,Calculs!$AC$8:$AC$247))</f>
        <v/>
      </c>
      <c r="I75" s="26" t="str">
        <f>IF(OR($A75="",7&gt;Paramètres!$B$9),"",SUMIF(Calculs!$B$8:$B$247,$A75,Calculs!$AD$8:$AD$247))</f>
        <v/>
      </c>
      <c r="J75" s="26" t="str">
        <f>IF(OR($A75="",8&gt;Paramètres!$B$9),"",SUMIF(Calculs!$B$8:$B$247,$A75,Calculs!$AE$8:$AE$247))</f>
        <v/>
      </c>
      <c r="K75" s="26" t="str">
        <f>IF(OR($A75="",9&gt;Paramètres!$B$9),"",SUMIF(Calculs!$B$8:$B$247,$A75,Calculs!$AF$8:$AF$247))</f>
        <v/>
      </c>
      <c r="L75" s="26" t="str">
        <f>IF(OR($A75="",10&gt;Paramètres!$B$9),"",SUMIF(Calculs!$B$8:$B$247,$A75,Calculs!$AG$8:$AG$247))</f>
        <v/>
      </c>
      <c r="M75" s="26" t="str">
        <f>IF(OR($A75="",11&gt;Paramètres!$B$9),"",SUMIF(Calculs!$B$8:$B$247,$A75,Calculs!$AH$8:$AH$247))</f>
        <v/>
      </c>
      <c r="N75" s="26" t="str">
        <f>IF(OR($A75="",12&gt;Paramètres!$B$9),"",SUMIF(Calculs!$B$8:$B$247,$A75,Calculs!$AI$8:$AI$247))</f>
        <v/>
      </c>
      <c r="O75" s="26" t="str">
        <f>IF(OR($A75="",13&gt;Paramètres!$B$9),"",SUMIF(Calculs!$B$8:$B$247,$A75,Calculs!$AJ$8:$AJ$247))</f>
        <v/>
      </c>
    </row>
    <row r="76" ht="28" customHeight="1">
      <c r="A76" s="25" t="str">
        <f>IF(Personnes!A31="","",Personnes!A31)</f>
        <v/>
      </c>
      <c r="B76" s="25" t="str">
        <f>IF(A76="","",Personnes!B31)</f>
        <v/>
      </c>
      <c r="C76" s="24" t="str">
        <f>IF(OR($A76="",1&gt;Paramètres!$B$9),"",SUMIF(Calculs!$B$8:$B$247,$A76,Calculs!$X$8:$X$247))</f>
        <v/>
      </c>
      <c r="D76" s="24" t="str">
        <f>IF(OR($A76="",2&gt;Paramètres!$B$9),"",SUMIF(Calculs!$B$8:$B$247,$A76,Calculs!$Y$8:$Y$247))</f>
        <v/>
      </c>
      <c r="E76" s="24" t="str">
        <f>IF(OR($A76="",3&gt;Paramètres!$B$9),"",SUMIF(Calculs!$B$8:$B$247,$A76,Calculs!$Z$8:$Z$247))</f>
        <v/>
      </c>
      <c r="F76" s="24" t="str">
        <f>IF(OR($A76="",4&gt;Paramètres!$B$9),"",SUMIF(Calculs!$B$8:$B$247,$A76,Calculs!$AA$8:$AA$247))</f>
        <v/>
      </c>
      <c r="G76" s="24" t="str">
        <f>IF(OR($A76="",5&gt;Paramètres!$B$9),"",SUMIF(Calculs!$B$8:$B$247,$A76,Calculs!$AB$8:$AB$247))</f>
        <v/>
      </c>
      <c r="H76" s="24" t="str">
        <f>IF(OR($A76="",6&gt;Paramètres!$B$9),"",SUMIF(Calculs!$B$8:$B$247,$A76,Calculs!$AC$8:$AC$247))</f>
        <v/>
      </c>
      <c r="I76" s="24" t="str">
        <f>IF(OR($A76="",7&gt;Paramètres!$B$9),"",SUMIF(Calculs!$B$8:$B$247,$A76,Calculs!$AD$8:$AD$247))</f>
        <v/>
      </c>
      <c r="J76" s="24" t="str">
        <f>IF(OR($A76="",8&gt;Paramètres!$B$9),"",SUMIF(Calculs!$B$8:$B$247,$A76,Calculs!$AE$8:$AE$247))</f>
        <v/>
      </c>
      <c r="K76" s="24" t="str">
        <f>IF(OR($A76="",9&gt;Paramètres!$B$9),"",SUMIF(Calculs!$B$8:$B$247,$A76,Calculs!$AF$8:$AF$247))</f>
        <v/>
      </c>
      <c r="L76" s="24" t="str">
        <f>IF(OR($A76="",10&gt;Paramètres!$B$9),"",SUMIF(Calculs!$B$8:$B$247,$A76,Calculs!$AG$8:$AG$247))</f>
        <v/>
      </c>
      <c r="M76" s="24" t="str">
        <f>IF(OR($A76="",11&gt;Paramètres!$B$9),"",SUMIF(Calculs!$B$8:$B$247,$A76,Calculs!$AH$8:$AH$247))</f>
        <v/>
      </c>
      <c r="N76" s="24" t="str">
        <f>IF(OR($A76="",12&gt;Paramètres!$B$9),"",SUMIF(Calculs!$B$8:$B$247,$A76,Calculs!$AI$8:$AI$247))</f>
        <v/>
      </c>
      <c r="O76" s="24" t="str">
        <f>IF(OR($A76="",13&gt;Paramètres!$B$9),"",SUMIF(Calculs!$B$8:$B$247,$A76,Calculs!$AJ$8:$AJ$247))</f>
        <v/>
      </c>
    </row>
    <row r="77" ht="28" customHeight="1">
      <c r="A77" s="27" t="str">
        <f>IF(Personnes!A32="","",Personnes!A32)</f>
        <v/>
      </c>
      <c r="B77" s="27" t="str">
        <f>IF(A77="","",Personnes!B32)</f>
        <v/>
      </c>
      <c r="C77" s="26" t="str">
        <f>IF(OR($A77="",1&gt;Paramètres!$B$9),"",SUMIF(Calculs!$B$8:$B$247,$A77,Calculs!$X$8:$X$247))</f>
        <v/>
      </c>
      <c r="D77" s="26" t="str">
        <f>IF(OR($A77="",2&gt;Paramètres!$B$9),"",SUMIF(Calculs!$B$8:$B$247,$A77,Calculs!$Y$8:$Y$247))</f>
        <v/>
      </c>
      <c r="E77" s="26" t="str">
        <f>IF(OR($A77="",3&gt;Paramètres!$B$9),"",SUMIF(Calculs!$B$8:$B$247,$A77,Calculs!$Z$8:$Z$247))</f>
        <v/>
      </c>
      <c r="F77" s="26" t="str">
        <f>IF(OR($A77="",4&gt;Paramètres!$B$9),"",SUMIF(Calculs!$B$8:$B$247,$A77,Calculs!$AA$8:$AA$247))</f>
        <v/>
      </c>
      <c r="G77" s="26" t="str">
        <f>IF(OR($A77="",5&gt;Paramètres!$B$9),"",SUMIF(Calculs!$B$8:$B$247,$A77,Calculs!$AB$8:$AB$247))</f>
        <v/>
      </c>
      <c r="H77" s="26" t="str">
        <f>IF(OR($A77="",6&gt;Paramètres!$B$9),"",SUMIF(Calculs!$B$8:$B$247,$A77,Calculs!$AC$8:$AC$247))</f>
        <v/>
      </c>
      <c r="I77" s="26" t="str">
        <f>IF(OR($A77="",7&gt;Paramètres!$B$9),"",SUMIF(Calculs!$B$8:$B$247,$A77,Calculs!$AD$8:$AD$247))</f>
        <v/>
      </c>
      <c r="J77" s="26" t="str">
        <f>IF(OR($A77="",8&gt;Paramètres!$B$9),"",SUMIF(Calculs!$B$8:$B$247,$A77,Calculs!$AE$8:$AE$247))</f>
        <v/>
      </c>
      <c r="K77" s="26" t="str">
        <f>IF(OR($A77="",9&gt;Paramètres!$B$9),"",SUMIF(Calculs!$B$8:$B$247,$A77,Calculs!$AF$8:$AF$247))</f>
        <v/>
      </c>
      <c r="L77" s="26" t="str">
        <f>IF(OR($A77="",10&gt;Paramètres!$B$9),"",SUMIF(Calculs!$B$8:$B$247,$A77,Calculs!$AG$8:$AG$247))</f>
        <v/>
      </c>
      <c r="M77" s="26" t="str">
        <f>IF(OR($A77="",11&gt;Paramètres!$B$9),"",SUMIF(Calculs!$B$8:$B$247,$A77,Calculs!$AH$8:$AH$247))</f>
        <v/>
      </c>
      <c r="N77" s="26" t="str">
        <f>IF(OR($A77="",12&gt;Paramètres!$B$9),"",SUMIF(Calculs!$B$8:$B$247,$A77,Calculs!$AI$8:$AI$247))</f>
        <v/>
      </c>
      <c r="O77" s="26" t="str">
        <f>IF(OR($A77="",13&gt;Paramètres!$B$9),"",SUMIF(Calculs!$B$8:$B$247,$A77,Calculs!$AJ$8:$AJ$247))</f>
        <v/>
      </c>
    </row>
    <row r="78" ht="28" customHeight="1">
      <c r="A78" s="25" t="str">
        <f>IF(Personnes!A33="","",Personnes!A33)</f>
        <v/>
      </c>
      <c r="B78" s="25" t="str">
        <f>IF(A78="","",Personnes!B33)</f>
        <v/>
      </c>
      <c r="C78" s="24" t="str">
        <f>IF(OR($A78="",1&gt;Paramètres!$B$9),"",SUMIF(Calculs!$B$8:$B$247,$A78,Calculs!$X$8:$X$247))</f>
        <v/>
      </c>
      <c r="D78" s="24" t="str">
        <f>IF(OR($A78="",2&gt;Paramètres!$B$9),"",SUMIF(Calculs!$B$8:$B$247,$A78,Calculs!$Y$8:$Y$247))</f>
        <v/>
      </c>
      <c r="E78" s="24" t="str">
        <f>IF(OR($A78="",3&gt;Paramètres!$B$9),"",SUMIF(Calculs!$B$8:$B$247,$A78,Calculs!$Z$8:$Z$247))</f>
        <v/>
      </c>
      <c r="F78" s="24" t="str">
        <f>IF(OR($A78="",4&gt;Paramètres!$B$9),"",SUMIF(Calculs!$B$8:$B$247,$A78,Calculs!$AA$8:$AA$247))</f>
        <v/>
      </c>
      <c r="G78" s="24" t="str">
        <f>IF(OR($A78="",5&gt;Paramètres!$B$9),"",SUMIF(Calculs!$B$8:$B$247,$A78,Calculs!$AB$8:$AB$247))</f>
        <v/>
      </c>
      <c r="H78" s="24" t="str">
        <f>IF(OR($A78="",6&gt;Paramètres!$B$9),"",SUMIF(Calculs!$B$8:$B$247,$A78,Calculs!$AC$8:$AC$247))</f>
        <v/>
      </c>
      <c r="I78" s="24" t="str">
        <f>IF(OR($A78="",7&gt;Paramètres!$B$9),"",SUMIF(Calculs!$B$8:$B$247,$A78,Calculs!$AD$8:$AD$247))</f>
        <v/>
      </c>
      <c r="J78" s="24" t="str">
        <f>IF(OR($A78="",8&gt;Paramètres!$B$9),"",SUMIF(Calculs!$B$8:$B$247,$A78,Calculs!$AE$8:$AE$247))</f>
        <v/>
      </c>
      <c r="K78" s="24" t="str">
        <f>IF(OR($A78="",9&gt;Paramètres!$B$9),"",SUMIF(Calculs!$B$8:$B$247,$A78,Calculs!$AF$8:$AF$247))</f>
        <v/>
      </c>
      <c r="L78" s="24" t="str">
        <f>IF(OR($A78="",10&gt;Paramètres!$B$9),"",SUMIF(Calculs!$B$8:$B$247,$A78,Calculs!$AG$8:$AG$247))</f>
        <v/>
      </c>
      <c r="M78" s="24" t="str">
        <f>IF(OR($A78="",11&gt;Paramètres!$B$9),"",SUMIF(Calculs!$B$8:$B$247,$A78,Calculs!$AH$8:$AH$247))</f>
        <v/>
      </c>
      <c r="N78" s="24" t="str">
        <f>IF(OR($A78="",12&gt;Paramètres!$B$9),"",SUMIF(Calculs!$B$8:$B$247,$A78,Calculs!$AI$8:$AI$247))</f>
        <v/>
      </c>
      <c r="O78" s="24" t="str">
        <f>IF(OR($A78="",13&gt;Paramètres!$B$9),"",SUMIF(Calculs!$B$8:$B$247,$A78,Calculs!$AJ$8:$AJ$247))</f>
        <v/>
      </c>
    </row>
    <row r="79" ht="28" customHeight="1">
      <c r="A79" s="27" t="str">
        <f>IF(Personnes!A34="","",Personnes!A34)</f>
        <v/>
      </c>
      <c r="B79" s="27" t="str">
        <f>IF(A79="","",Personnes!B34)</f>
        <v/>
      </c>
      <c r="C79" s="26" t="str">
        <f>IF(OR($A79="",1&gt;Paramètres!$B$9),"",SUMIF(Calculs!$B$8:$B$247,$A79,Calculs!$X$8:$X$247))</f>
        <v/>
      </c>
      <c r="D79" s="26" t="str">
        <f>IF(OR($A79="",2&gt;Paramètres!$B$9),"",SUMIF(Calculs!$B$8:$B$247,$A79,Calculs!$Y$8:$Y$247))</f>
        <v/>
      </c>
      <c r="E79" s="26" t="str">
        <f>IF(OR($A79="",3&gt;Paramètres!$B$9),"",SUMIF(Calculs!$B$8:$B$247,$A79,Calculs!$Z$8:$Z$247))</f>
        <v/>
      </c>
      <c r="F79" s="26" t="str">
        <f>IF(OR($A79="",4&gt;Paramètres!$B$9),"",SUMIF(Calculs!$B$8:$B$247,$A79,Calculs!$AA$8:$AA$247))</f>
        <v/>
      </c>
      <c r="G79" s="26" t="str">
        <f>IF(OR($A79="",5&gt;Paramètres!$B$9),"",SUMIF(Calculs!$B$8:$B$247,$A79,Calculs!$AB$8:$AB$247))</f>
        <v/>
      </c>
      <c r="H79" s="26" t="str">
        <f>IF(OR($A79="",6&gt;Paramètres!$B$9),"",SUMIF(Calculs!$B$8:$B$247,$A79,Calculs!$AC$8:$AC$247))</f>
        <v/>
      </c>
      <c r="I79" s="26" t="str">
        <f>IF(OR($A79="",7&gt;Paramètres!$B$9),"",SUMIF(Calculs!$B$8:$B$247,$A79,Calculs!$AD$8:$AD$247))</f>
        <v/>
      </c>
      <c r="J79" s="26" t="str">
        <f>IF(OR($A79="",8&gt;Paramètres!$B$9),"",SUMIF(Calculs!$B$8:$B$247,$A79,Calculs!$AE$8:$AE$247))</f>
        <v/>
      </c>
      <c r="K79" s="26" t="str">
        <f>IF(OR($A79="",9&gt;Paramètres!$B$9),"",SUMIF(Calculs!$B$8:$B$247,$A79,Calculs!$AF$8:$AF$247))</f>
        <v/>
      </c>
      <c r="L79" s="26" t="str">
        <f>IF(OR($A79="",10&gt;Paramètres!$B$9),"",SUMIF(Calculs!$B$8:$B$247,$A79,Calculs!$AG$8:$AG$247))</f>
        <v/>
      </c>
      <c r="M79" s="26" t="str">
        <f>IF(OR($A79="",11&gt;Paramètres!$B$9),"",SUMIF(Calculs!$B$8:$B$247,$A79,Calculs!$AH$8:$AH$247))</f>
        <v/>
      </c>
      <c r="N79" s="26" t="str">
        <f>IF(OR($A79="",12&gt;Paramètres!$B$9),"",SUMIF(Calculs!$B$8:$B$247,$A79,Calculs!$AI$8:$AI$247))</f>
        <v/>
      </c>
      <c r="O79" s="26" t="str">
        <f>IF(OR($A79="",13&gt;Paramètres!$B$9),"",SUMIF(Calculs!$B$8:$B$247,$A79,Calculs!$AJ$8:$AJ$247))</f>
        <v/>
      </c>
    </row>
    <row r="80" ht="28" customHeight="1">
      <c r="A80" s="25" t="str">
        <f>IF(Personnes!A35="","",Personnes!A35)</f>
        <v/>
      </c>
      <c r="B80" s="25" t="str">
        <f>IF(A80="","",Personnes!B35)</f>
        <v/>
      </c>
      <c r="C80" s="24" t="str">
        <f>IF(OR($A80="",1&gt;Paramètres!$B$9),"",SUMIF(Calculs!$B$8:$B$247,$A80,Calculs!$X$8:$X$247))</f>
        <v/>
      </c>
      <c r="D80" s="24" t="str">
        <f>IF(OR($A80="",2&gt;Paramètres!$B$9),"",SUMIF(Calculs!$B$8:$B$247,$A80,Calculs!$Y$8:$Y$247))</f>
        <v/>
      </c>
      <c r="E80" s="24" t="str">
        <f>IF(OR($A80="",3&gt;Paramètres!$B$9),"",SUMIF(Calculs!$B$8:$B$247,$A80,Calculs!$Z$8:$Z$247))</f>
        <v/>
      </c>
      <c r="F80" s="24" t="str">
        <f>IF(OR($A80="",4&gt;Paramètres!$B$9),"",SUMIF(Calculs!$B$8:$B$247,$A80,Calculs!$AA$8:$AA$247))</f>
        <v/>
      </c>
      <c r="G80" s="24" t="str">
        <f>IF(OR($A80="",5&gt;Paramètres!$B$9),"",SUMIF(Calculs!$B$8:$B$247,$A80,Calculs!$AB$8:$AB$247))</f>
        <v/>
      </c>
      <c r="H80" s="24" t="str">
        <f>IF(OR($A80="",6&gt;Paramètres!$B$9),"",SUMIF(Calculs!$B$8:$B$247,$A80,Calculs!$AC$8:$AC$247))</f>
        <v/>
      </c>
      <c r="I80" s="24" t="str">
        <f>IF(OR($A80="",7&gt;Paramètres!$B$9),"",SUMIF(Calculs!$B$8:$B$247,$A80,Calculs!$AD$8:$AD$247))</f>
        <v/>
      </c>
      <c r="J80" s="24" t="str">
        <f>IF(OR($A80="",8&gt;Paramètres!$B$9),"",SUMIF(Calculs!$B$8:$B$247,$A80,Calculs!$AE$8:$AE$247))</f>
        <v/>
      </c>
      <c r="K80" s="24" t="str">
        <f>IF(OR($A80="",9&gt;Paramètres!$B$9),"",SUMIF(Calculs!$B$8:$B$247,$A80,Calculs!$AF$8:$AF$247))</f>
        <v/>
      </c>
      <c r="L80" s="24" t="str">
        <f>IF(OR($A80="",10&gt;Paramètres!$B$9),"",SUMIF(Calculs!$B$8:$B$247,$A80,Calculs!$AG$8:$AG$247))</f>
        <v/>
      </c>
      <c r="M80" s="24" t="str">
        <f>IF(OR($A80="",11&gt;Paramètres!$B$9),"",SUMIF(Calculs!$B$8:$B$247,$A80,Calculs!$AH$8:$AH$247))</f>
        <v/>
      </c>
      <c r="N80" s="24" t="str">
        <f>IF(OR($A80="",12&gt;Paramètres!$B$9),"",SUMIF(Calculs!$B$8:$B$247,$A80,Calculs!$AI$8:$AI$247))</f>
        <v/>
      </c>
      <c r="O80" s="24" t="str">
        <f>IF(OR($A80="",13&gt;Paramètres!$B$9),"",SUMIF(Calculs!$B$8:$B$247,$A80,Calculs!$AJ$8:$AJ$247))</f>
        <v/>
      </c>
    </row>
    <row r="81" ht="28" customHeight="1">
      <c r="A81" s="27" t="str">
        <f>IF(Personnes!A36="","",Personnes!A36)</f>
        <v/>
      </c>
      <c r="B81" s="27" t="str">
        <f>IF(A81="","",Personnes!B36)</f>
        <v/>
      </c>
      <c r="C81" s="26" t="str">
        <f>IF(OR($A81="",1&gt;Paramètres!$B$9),"",SUMIF(Calculs!$B$8:$B$247,$A81,Calculs!$X$8:$X$247))</f>
        <v/>
      </c>
      <c r="D81" s="26" t="str">
        <f>IF(OR($A81="",2&gt;Paramètres!$B$9),"",SUMIF(Calculs!$B$8:$B$247,$A81,Calculs!$Y$8:$Y$247))</f>
        <v/>
      </c>
      <c r="E81" s="26" t="str">
        <f>IF(OR($A81="",3&gt;Paramètres!$B$9),"",SUMIF(Calculs!$B$8:$B$247,$A81,Calculs!$Z$8:$Z$247))</f>
        <v/>
      </c>
      <c r="F81" s="26" t="str">
        <f>IF(OR($A81="",4&gt;Paramètres!$B$9),"",SUMIF(Calculs!$B$8:$B$247,$A81,Calculs!$AA$8:$AA$247))</f>
        <v/>
      </c>
      <c r="G81" s="26" t="str">
        <f>IF(OR($A81="",5&gt;Paramètres!$B$9),"",SUMIF(Calculs!$B$8:$B$247,$A81,Calculs!$AB$8:$AB$247))</f>
        <v/>
      </c>
      <c r="H81" s="26" t="str">
        <f>IF(OR($A81="",6&gt;Paramètres!$B$9),"",SUMIF(Calculs!$B$8:$B$247,$A81,Calculs!$AC$8:$AC$247))</f>
        <v/>
      </c>
      <c r="I81" s="26" t="str">
        <f>IF(OR($A81="",7&gt;Paramètres!$B$9),"",SUMIF(Calculs!$B$8:$B$247,$A81,Calculs!$AD$8:$AD$247))</f>
        <v/>
      </c>
      <c r="J81" s="26" t="str">
        <f>IF(OR($A81="",8&gt;Paramètres!$B$9),"",SUMIF(Calculs!$B$8:$B$247,$A81,Calculs!$AE$8:$AE$247))</f>
        <v/>
      </c>
      <c r="K81" s="26" t="str">
        <f>IF(OR($A81="",9&gt;Paramètres!$B$9),"",SUMIF(Calculs!$B$8:$B$247,$A81,Calculs!$AF$8:$AF$247))</f>
        <v/>
      </c>
      <c r="L81" s="26" t="str">
        <f>IF(OR($A81="",10&gt;Paramètres!$B$9),"",SUMIF(Calculs!$B$8:$B$247,$A81,Calculs!$AG$8:$AG$247))</f>
        <v/>
      </c>
      <c r="M81" s="26" t="str">
        <f>IF(OR($A81="",11&gt;Paramètres!$B$9),"",SUMIF(Calculs!$B$8:$B$247,$A81,Calculs!$AH$8:$AH$247))</f>
        <v/>
      </c>
      <c r="N81" s="26" t="str">
        <f>IF(OR($A81="",12&gt;Paramètres!$B$9),"",SUMIF(Calculs!$B$8:$B$247,$A81,Calculs!$AI$8:$AI$247))</f>
        <v/>
      </c>
      <c r="O81" s="26" t="str">
        <f>IF(OR($A81="",13&gt;Paramètres!$B$9),"",SUMIF(Calculs!$B$8:$B$247,$A81,Calculs!$AJ$8:$AJ$247))</f>
        <v/>
      </c>
    </row>
    <row r="82" ht="28" customHeight="1">
      <c r="A82" s="25" t="str">
        <f>IF(Personnes!A37="","",Personnes!A37)</f>
        <v/>
      </c>
      <c r="B82" s="25" t="str">
        <f>IF(A82="","",Personnes!B37)</f>
        <v/>
      </c>
      <c r="C82" s="24" t="str">
        <f>IF(OR($A82="",1&gt;Paramètres!$B$9),"",SUMIF(Calculs!$B$8:$B$247,$A82,Calculs!$X$8:$X$247))</f>
        <v/>
      </c>
      <c r="D82" s="24" t="str">
        <f>IF(OR($A82="",2&gt;Paramètres!$B$9),"",SUMIF(Calculs!$B$8:$B$247,$A82,Calculs!$Y$8:$Y$247))</f>
        <v/>
      </c>
      <c r="E82" s="24" t="str">
        <f>IF(OR($A82="",3&gt;Paramètres!$B$9),"",SUMIF(Calculs!$B$8:$B$247,$A82,Calculs!$Z$8:$Z$247))</f>
        <v/>
      </c>
      <c r="F82" s="24" t="str">
        <f>IF(OR($A82="",4&gt;Paramètres!$B$9),"",SUMIF(Calculs!$B$8:$B$247,$A82,Calculs!$AA$8:$AA$247))</f>
        <v/>
      </c>
      <c r="G82" s="24" t="str">
        <f>IF(OR($A82="",5&gt;Paramètres!$B$9),"",SUMIF(Calculs!$B$8:$B$247,$A82,Calculs!$AB$8:$AB$247))</f>
        <v/>
      </c>
      <c r="H82" s="24" t="str">
        <f>IF(OR($A82="",6&gt;Paramètres!$B$9),"",SUMIF(Calculs!$B$8:$B$247,$A82,Calculs!$AC$8:$AC$247))</f>
        <v/>
      </c>
      <c r="I82" s="24" t="str">
        <f>IF(OR($A82="",7&gt;Paramètres!$B$9),"",SUMIF(Calculs!$B$8:$B$247,$A82,Calculs!$AD$8:$AD$247))</f>
        <v/>
      </c>
      <c r="J82" s="24" t="str">
        <f>IF(OR($A82="",8&gt;Paramètres!$B$9),"",SUMIF(Calculs!$B$8:$B$247,$A82,Calculs!$AE$8:$AE$247))</f>
        <v/>
      </c>
      <c r="K82" s="24" t="str">
        <f>IF(OR($A82="",9&gt;Paramètres!$B$9),"",SUMIF(Calculs!$B$8:$B$247,$A82,Calculs!$AF$8:$AF$247))</f>
        <v/>
      </c>
      <c r="L82" s="24" t="str">
        <f>IF(OR($A82="",10&gt;Paramètres!$B$9),"",SUMIF(Calculs!$B$8:$B$247,$A82,Calculs!$AG$8:$AG$247))</f>
        <v/>
      </c>
      <c r="M82" s="24" t="str">
        <f>IF(OR($A82="",11&gt;Paramètres!$B$9),"",SUMIF(Calculs!$B$8:$B$247,$A82,Calculs!$AH$8:$AH$247))</f>
        <v/>
      </c>
      <c r="N82" s="24" t="str">
        <f>IF(OR($A82="",12&gt;Paramètres!$B$9),"",SUMIF(Calculs!$B$8:$B$247,$A82,Calculs!$AI$8:$AI$247))</f>
        <v/>
      </c>
      <c r="O82" s="24" t="str">
        <f>IF(OR($A82="",13&gt;Paramètres!$B$9),"",SUMIF(Calculs!$B$8:$B$247,$A82,Calculs!$AJ$8:$AJ$247))</f>
        <v/>
      </c>
    </row>
    <row r="83" ht="28" customHeight="1">
      <c r="A83" s="27" t="str">
        <f>IF(Personnes!A38="","",Personnes!A38)</f>
        <v/>
      </c>
      <c r="B83" s="27" t="str">
        <f>IF(A83="","",Personnes!B38)</f>
        <v/>
      </c>
      <c r="C83" s="26" t="str">
        <f>IF(OR($A83="",1&gt;Paramètres!$B$9),"",SUMIF(Calculs!$B$8:$B$247,$A83,Calculs!$X$8:$X$247))</f>
        <v/>
      </c>
      <c r="D83" s="26" t="str">
        <f>IF(OR($A83="",2&gt;Paramètres!$B$9),"",SUMIF(Calculs!$B$8:$B$247,$A83,Calculs!$Y$8:$Y$247))</f>
        <v/>
      </c>
      <c r="E83" s="26" t="str">
        <f>IF(OR($A83="",3&gt;Paramètres!$B$9),"",SUMIF(Calculs!$B$8:$B$247,$A83,Calculs!$Z$8:$Z$247))</f>
        <v/>
      </c>
      <c r="F83" s="26" t="str">
        <f>IF(OR($A83="",4&gt;Paramètres!$B$9),"",SUMIF(Calculs!$B$8:$B$247,$A83,Calculs!$AA$8:$AA$247))</f>
        <v/>
      </c>
      <c r="G83" s="26" t="str">
        <f>IF(OR($A83="",5&gt;Paramètres!$B$9),"",SUMIF(Calculs!$B$8:$B$247,$A83,Calculs!$AB$8:$AB$247))</f>
        <v/>
      </c>
      <c r="H83" s="26" t="str">
        <f>IF(OR($A83="",6&gt;Paramètres!$B$9),"",SUMIF(Calculs!$B$8:$B$247,$A83,Calculs!$AC$8:$AC$247))</f>
        <v/>
      </c>
      <c r="I83" s="26" t="str">
        <f>IF(OR($A83="",7&gt;Paramètres!$B$9),"",SUMIF(Calculs!$B$8:$B$247,$A83,Calculs!$AD$8:$AD$247))</f>
        <v/>
      </c>
      <c r="J83" s="26" t="str">
        <f>IF(OR($A83="",8&gt;Paramètres!$B$9),"",SUMIF(Calculs!$B$8:$B$247,$A83,Calculs!$AE$8:$AE$247))</f>
        <v/>
      </c>
      <c r="K83" s="26" t="str">
        <f>IF(OR($A83="",9&gt;Paramètres!$B$9),"",SUMIF(Calculs!$B$8:$B$247,$A83,Calculs!$AF$8:$AF$247))</f>
        <v/>
      </c>
      <c r="L83" s="26" t="str">
        <f>IF(OR($A83="",10&gt;Paramètres!$B$9),"",SUMIF(Calculs!$B$8:$B$247,$A83,Calculs!$AG$8:$AG$247))</f>
        <v/>
      </c>
      <c r="M83" s="26" t="str">
        <f>IF(OR($A83="",11&gt;Paramètres!$B$9),"",SUMIF(Calculs!$B$8:$B$247,$A83,Calculs!$AH$8:$AH$247))</f>
        <v/>
      </c>
      <c r="N83" s="26" t="str">
        <f>IF(OR($A83="",12&gt;Paramètres!$B$9),"",SUMIF(Calculs!$B$8:$B$247,$A83,Calculs!$AI$8:$AI$247))</f>
        <v/>
      </c>
      <c r="O83" s="26" t="str">
        <f>IF(OR($A83="",13&gt;Paramètres!$B$9),"",SUMIF(Calculs!$B$8:$B$247,$A83,Calculs!$AJ$8:$AJ$247))</f>
        <v/>
      </c>
    </row>
    <row r="84" ht="28" customHeight="1">
      <c r="A84" s="25" t="str">
        <f>IF(Personnes!A39="","",Personnes!A39)</f>
        <v/>
      </c>
      <c r="B84" s="25" t="str">
        <f>IF(A84="","",Personnes!B39)</f>
        <v/>
      </c>
      <c r="C84" s="24" t="str">
        <f>IF(OR($A84="",1&gt;Paramètres!$B$9),"",SUMIF(Calculs!$B$8:$B$247,$A84,Calculs!$X$8:$X$247))</f>
        <v/>
      </c>
      <c r="D84" s="24" t="str">
        <f>IF(OR($A84="",2&gt;Paramètres!$B$9),"",SUMIF(Calculs!$B$8:$B$247,$A84,Calculs!$Y$8:$Y$247))</f>
        <v/>
      </c>
      <c r="E84" s="24" t="str">
        <f>IF(OR($A84="",3&gt;Paramètres!$B$9),"",SUMIF(Calculs!$B$8:$B$247,$A84,Calculs!$Z$8:$Z$247))</f>
        <v/>
      </c>
      <c r="F84" s="24" t="str">
        <f>IF(OR($A84="",4&gt;Paramètres!$B$9),"",SUMIF(Calculs!$B$8:$B$247,$A84,Calculs!$AA$8:$AA$247))</f>
        <v/>
      </c>
      <c r="G84" s="24" t="str">
        <f>IF(OR($A84="",5&gt;Paramètres!$B$9),"",SUMIF(Calculs!$B$8:$B$247,$A84,Calculs!$AB$8:$AB$247))</f>
        <v/>
      </c>
      <c r="H84" s="24" t="str">
        <f>IF(OR($A84="",6&gt;Paramètres!$B$9),"",SUMIF(Calculs!$B$8:$B$247,$A84,Calculs!$AC$8:$AC$247))</f>
        <v/>
      </c>
      <c r="I84" s="24" t="str">
        <f>IF(OR($A84="",7&gt;Paramètres!$B$9),"",SUMIF(Calculs!$B$8:$B$247,$A84,Calculs!$AD$8:$AD$247))</f>
        <v/>
      </c>
      <c r="J84" s="24" t="str">
        <f>IF(OR($A84="",8&gt;Paramètres!$B$9),"",SUMIF(Calculs!$B$8:$B$247,$A84,Calculs!$AE$8:$AE$247))</f>
        <v/>
      </c>
      <c r="K84" s="24" t="str">
        <f>IF(OR($A84="",9&gt;Paramètres!$B$9),"",SUMIF(Calculs!$B$8:$B$247,$A84,Calculs!$AF$8:$AF$247))</f>
        <v/>
      </c>
      <c r="L84" s="24" t="str">
        <f>IF(OR($A84="",10&gt;Paramètres!$B$9),"",SUMIF(Calculs!$B$8:$B$247,$A84,Calculs!$AG$8:$AG$247))</f>
        <v/>
      </c>
      <c r="M84" s="24" t="str">
        <f>IF(OR($A84="",11&gt;Paramètres!$B$9),"",SUMIF(Calculs!$B$8:$B$247,$A84,Calculs!$AH$8:$AH$247))</f>
        <v/>
      </c>
      <c r="N84" s="24" t="str">
        <f>IF(OR($A84="",12&gt;Paramètres!$B$9),"",SUMIF(Calculs!$B$8:$B$247,$A84,Calculs!$AI$8:$AI$247))</f>
        <v/>
      </c>
      <c r="O84" s="24" t="str">
        <f>IF(OR($A84="",13&gt;Paramètres!$B$9),"",SUMIF(Calculs!$B$8:$B$247,$A84,Calculs!$AJ$8:$AJ$247))</f>
        <v/>
      </c>
    </row>
    <row r="85" ht="28" customHeight="1">
      <c r="A85" s="27" t="str">
        <f>IF(Personnes!A40="","",Personnes!A40)</f>
        <v/>
      </c>
      <c r="B85" s="27" t="str">
        <f>IF(A85="","",Personnes!B40)</f>
        <v/>
      </c>
      <c r="C85" s="26" t="str">
        <f>IF(OR($A85="",1&gt;Paramètres!$B$9),"",SUMIF(Calculs!$B$8:$B$247,$A85,Calculs!$X$8:$X$247))</f>
        <v/>
      </c>
      <c r="D85" s="26" t="str">
        <f>IF(OR($A85="",2&gt;Paramètres!$B$9),"",SUMIF(Calculs!$B$8:$B$247,$A85,Calculs!$Y$8:$Y$247))</f>
        <v/>
      </c>
      <c r="E85" s="26" t="str">
        <f>IF(OR($A85="",3&gt;Paramètres!$B$9),"",SUMIF(Calculs!$B$8:$B$247,$A85,Calculs!$Z$8:$Z$247))</f>
        <v/>
      </c>
      <c r="F85" s="26" t="str">
        <f>IF(OR($A85="",4&gt;Paramètres!$B$9),"",SUMIF(Calculs!$B$8:$B$247,$A85,Calculs!$AA$8:$AA$247))</f>
        <v/>
      </c>
      <c r="G85" s="26" t="str">
        <f>IF(OR($A85="",5&gt;Paramètres!$B$9),"",SUMIF(Calculs!$B$8:$B$247,$A85,Calculs!$AB$8:$AB$247))</f>
        <v/>
      </c>
      <c r="H85" s="26" t="str">
        <f>IF(OR($A85="",6&gt;Paramètres!$B$9),"",SUMIF(Calculs!$B$8:$B$247,$A85,Calculs!$AC$8:$AC$247))</f>
        <v/>
      </c>
      <c r="I85" s="26" t="str">
        <f>IF(OR($A85="",7&gt;Paramètres!$B$9),"",SUMIF(Calculs!$B$8:$B$247,$A85,Calculs!$AD$8:$AD$247))</f>
        <v/>
      </c>
      <c r="J85" s="26" t="str">
        <f>IF(OR($A85="",8&gt;Paramètres!$B$9),"",SUMIF(Calculs!$B$8:$B$247,$A85,Calculs!$AE$8:$AE$247))</f>
        <v/>
      </c>
      <c r="K85" s="26" t="str">
        <f>IF(OR($A85="",9&gt;Paramètres!$B$9),"",SUMIF(Calculs!$B$8:$B$247,$A85,Calculs!$AF$8:$AF$247))</f>
        <v/>
      </c>
      <c r="L85" s="26" t="str">
        <f>IF(OR($A85="",10&gt;Paramètres!$B$9),"",SUMIF(Calculs!$B$8:$B$247,$A85,Calculs!$AG$8:$AG$247))</f>
        <v/>
      </c>
      <c r="M85" s="26" t="str">
        <f>IF(OR($A85="",11&gt;Paramètres!$B$9),"",SUMIF(Calculs!$B$8:$B$247,$A85,Calculs!$AH$8:$AH$247))</f>
        <v/>
      </c>
      <c r="N85" s="26" t="str">
        <f>IF(OR($A85="",12&gt;Paramètres!$B$9),"",SUMIF(Calculs!$B$8:$B$247,$A85,Calculs!$AI$8:$AI$247))</f>
        <v/>
      </c>
      <c r="O85" s="26" t="str">
        <f>IF(OR($A85="",13&gt;Paramètres!$B$9),"",SUMIF(Calculs!$B$8:$B$247,$A85,Calculs!$AJ$8:$AJ$247))</f>
        <v/>
      </c>
    </row>
    <row r="86" ht="28" customHeight="1">
      <c r="A86" s="25" t="str">
        <f>IF(Personnes!A41="","",Personnes!A41)</f>
        <v/>
      </c>
      <c r="B86" s="25" t="str">
        <f>IF(A86="","",Personnes!B41)</f>
        <v/>
      </c>
      <c r="C86" s="24" t="str">
        <f>IF(OR($A86="",1&gt;Paramètres!$B$9),"",SUMIF(Calculs!$B$8:$B$247,$A86,Calculs!$X$8:$X$247))</f>
        <v/>
      </c>
      <c r="D86" s="24" t="str">
        <f>IF(OR($A86="",2&gt;Paramètres!$B$9),"",SUMIF(Calculs!$B$8:$B$247,$A86,Calculs!$Y$8:$Y$247))</f>
        <v/>
      </c>
      <c r="E86" s="24" t="str">
        <f>IF(OR($A86="",3&gt;Paramètres!$B$9),"",SUMIF(Calculs!$B$8:$B$247,$A86,Calculs!$Z$8:$Z$247))</f>
        <v/>
      </c>
      <c r="F86" s="24" t="str">
        <f>IF(OR($A86="",4&gt;Paramètres!$B$9),"",SUMIF(Calculs!$B$8:$B$247,$A86,Calculs!$AA$8:$AA$247))</f>
        <v/>
      </c>
      <c r="G86" s="24" t="str">
        <f>IF(OR($A86="",5&gt;Paramètres!$B$9),"",SUMIF(Calculs!$B$8:$B$247,$A86,Calculs!$AB$8:$AB$247))</f>
        <v/>
      </c>
      <c r="H86" s="24" t="str">
        <f>IF(OR($A86="",6&gt;Paramètres!$B$9),"",SUMIF(Calculs!$B$8:$B$247,$A86,Calculs!$AC$8:$AC$247))</f>
        <v/>
      </c>
      <c r="I86" s="24" t="str">
        <f>IF(OR($A86="",7&gt;Paramètres!$B$9),"",SUMIF(Calculs!$B$8:$B$247,$A86,Calculs!$AD$8:$AD$247))</f>
        <v/>
      </c>
      <c r="J86" s="24" t="str">
        <f>IF(OR($A86="",8&gt;Paramètres!$B$9),"",SUMIF(Calculs!$B$8:$B$247,$A86,Calculs!$AE$8:$AE$247))</f>
        <v/>
      </c>
      <c r="K86" s="24" t="str">
        <f>IF(OR($A86="",9&gt;Paramètres!$B$9),"",SUMIF(Calculs!$B$8:$B$247,$A86,Calculs!$AF$8:$AF$247))</f>
        <v/>
      </c>
      <c r="L86" s="24" t="str">
        <f>IF(OR($A86="",10&gt;Paramètres!$B$9),"",SUMIF(Calculs!$B$8:$B$247,$A86,Calculs!$AG$8:$AG$247))</f>
        <v/>
      </c>
      <c r="M86" s="24" t="str">
        <f>IF(OR($A86="",11&gt;Paramètres!$B$9),"",SUMIF(Calculs!$B$8:$B$247,$A86,Calculs!$AH$8:$AH$247))</f>
        <v/>
      </c>
      <c r="N86" s="24" t="str">
        <f>IF(OR($A86="",12&gt;Paramètres!$B$9),"",SUMIF(Calculs!$B$8:$B$247,$A86,Calculs!$AI$8:$AI$247))</f>
        <v/>
      </c>
      <c r="O86" s="24" t="str">
        <f>IF(OR($A86="",13&gt;Paramètres!$B$9),"",SUMIF(Calculs!$B$8:$B$247,$A86,Calculs!$AJ$8:$AJ$247))</f>
        <v/>
      </c>
    </row>
    <row r="87" ht="28" customHeight="1">
      <c r="A87" s="27" t="str">
        <f>IF(Personnes!A42="","",Personnes!A42)</f>
        <v/>
      </c>
      <c r="B87" s="27" t="str">
        <f>IF(A87="","",Personnes!B42)</f>
        <v/>
      </c>
      <c r="C87" s="26" t="str">
        <f>IF(OR($A87="",1&gt;Paramètres!$B$9),"",SUMIF(Calculs!$B$8:$B$247,$A87,Calculs!$X$8:$X$247))</f>
        <v/>
      </c>
      <c r="D87" s="26" t="str">
        <f>IF(OR($A87="",2&gt;Paramètres!$B$9),"",SUMIF(Calculs!$B$8:$B$247,$A87,Calculs!$Y$8:$Y$247))</f>
        <v/>
      </c>
      <c r="E87" s="26" t="str">
        <f>IF(OR($A87="",3&gt;Paramètres!$B$9),"",SUMIF(Calculs!$B$8:$B$247,$A87,Calculs!$Z$8:$Z$247))</f>
        <v/>
      </c>
      <c r="F87" s="26" t="str">
        <f>IF(OR($A87="",4&gt;Paramètres!$B$9),"",SUMIF(Calculs!$B$8:$B$247,$A87,Calculs!$AA$8:$AA$247))</f>
        <v/>
      </c>
      <c r="G87" s="26" t="str">
        <f>IF(OR($A87="",5&gt;Paramètres!$B$9),"",SUMIF(Calculs!$B$8:$B$247,$A87,Calculs!$AB$8:$AB$247))</f>
        <v/>
      </c>
      <c r="H87" s="26" t="str">
        <f>IF(OR($A87="",6&gt;Paramètres!$B$9),"",SUMIF(Calculs!$B$8:$B$247,$A87,Calculs!$AC$8:$AC$247))</f>
        <v/>
      </c>
      <c r="I87" s="26" t="str">
        <f>IF(OR($A87="",7&gt;Paramètres!$B$9),"",SUMIF(Calculs!$B$8:$B$247,$A87,Calculs!$AD$8:$AD$247))</f>
        <v/>
      </c>
      <c r="J87" s="26" t="str">
        <f>IF(OR($A87="",8&gt;Paramètres!$B$9),"",SUMIF(Calculs!$B$8:$B$247,$A87,Calculs!$AE$8:$AE$247))</f>
        <v/>
      </c>
      <c r="K87" s="26" t="str">
        <f>IF(OR($A87="",9&gt;Paramètres!$B$9),"",SUMIF(Calculs!$B$8:$B$247,$A87,Calculs!$AF$8:$AF$247))</f>
        <v/>
      </c>
      <c r="L87" s="26" t="str">
        <f>IF(OR($A87="",10&gt;Paramètres!$B$9),"",SUMIF(Calculs!$B$8:$B$247,$A87,Calculs!$AG$8:$AG$247))</f>
        <v/>
      </c>
      <c r="M87" s="26" t="str">
        <f>IF(OR($A87="",11&gt;Paramètres!$B$9),"",SUMIF(Calculs!$B$8:$B$247,$A87,Calculs!$AH$8:$AH$247))</f>
        <v/>
      </c>
      <c r="N87" s="26" t="str">
        <f>IF(OR($A87="",12&gt;Paramètres!$B$9),"",SUMIF(Calculs!$B$8:$B$247,$A87,Calculs!$AI$8:$AI$247))</f>
        <v/>
      </c>
      <c r="O87" s="26" t="str">
        <f>IF(OR($A87="",13&gt;Paramètres!$B$9),"",SUMIF(Calculs!$B$8:$B$247,$A87,Calculs!$AJ$8:$AJ$247))</f>
        <v/>
      </c>
    </row>
    <row r="88" ht="28" customHeight="1">
      <c r="A88" s="25" t="str">
        <f>IF(Personnes!A43="","",Personnes!A43)</f>
        <v/>
      </c>
      <c r="B88" s="25" t="str">
        <f>IF(A88="","",Personnes!B43)</f>
        <v/>
      </c>
      <c r="C88" s="24" t="str">
        <f>IF(OR($A88="",1&gt;Paramètres!$B$9),"",SUMIF(Calculs!$B$8:$B$247,$A88,Calculs!$X$8:$X$247))</f>
        <v/>
      </c>
      <c r="D88" s="24" t="str">
        <f>IF(OR($A88="",2&gt;Paramètres!$B$9),"",SUMIF(Calculs!$B$8:$B$247,$A88,Calculs!$Y$8:$Y$247))</f>
        <v/>
      </c>
      <c r="E88" s="24" t="str">
        <f>IF(OR($A88="",3&gt;Paramètres!$B$9),"",SUMIF(Calculs!$B$8:$B$247,$A88,Calculs!$Z$8:$Z$247))</f>
        <v/>
      </c>
      <c r="F88" s="24" t="str">
        <f>IF(OR($A88="",4&gt;Paramètres!$B$9),"",SUMIF(Calculs!$B$8:$B$247,$A88,Calculs!$AA$8:$AA$247))</f>
        <v/>
      </c>
      <c r="G88" s="24" t="str">
        <f>IF(OR($A88="",5&gt;Paramètres!$B$9),"",SUMIF(Calculs!$B$8:$B$247,$A88,Calculs!$AB$8:$AB$247))</f>
        <v/>
      </c>
      <c r="H88" s="24" t="str">
        <f>IF(OR($A88="",6&gt;Paramètres!$B$9),"",SUMIF(Calculs!$B$8:$B$247,$A88,Calculs!$AC$8:$AC$247))</f>
        <v/>
      </c>
      <c r="I88" s="24" t="str">
        <f>IF(OR($A88="",7&gt;Paramètres!$B$9),"",SUMIF(Calculs!$B$8:$B$247,$A88,Calculs!$AD$8:$AD$247))</f>
        <v/>
      </c>
      <c r="J88" s="24" t="str">
        <f>IF(OR($A88="",8&gt;Paramètres!$B$9),"",SUMIF(Calculs!$B$8:$B$247,$A88,Calculs!$AE$8:$AE$247))</f>
        <v/>
      </c>
      <c r="K88" s="24" t="str">
        <f>IF(OR($A88="",9&gt;Paramètres!$B$9),"",SUMIF(Calculs!$B$8:$B$247,$A88,Calculs!$AF$8:$AF$247))</f>
        <v/>
      </c>
      <c r="L88" s="24" t="str">
        <f>IF(OR($A88="",10&gt;Paramètres!$B$9),"",SUMIF(Calculs!$B$8:$B$247,$A88,Calculs!$AG$8:$AG$247))</f>
        <v/>
      </c>
      <c r="M88" s="24" t="str">
        <f>IF(OR($A88="",11&gt;Paramètres!$B$9),"",SUMIF(Calculs!$B$8:$B$247,$A88,Calculs!$AH$8:$AH$247))</f>
        <v/>
      </c>
      <c r="N88" s="24" t="str">
        <f>IF(OR($A88="",12&gt;Paramètres!$B$9),"",SUMIF(Calculs!$B$8:$B$247,$A88,Calculs!$AI$8:$AI$247))</f>
        <v/>
      </c>
      <c r="O88" s="24" t="str">
        <f>IF(OR($A88="",13&gt;Paramètres!$B$9),"",SUMIF(Calculs!$B$8:$B$247,$A88,Calculs!$AJ$8:$AJ$247))</f>
        <v/>
      </c>
    </row>
    <row r="89" ht="28" customHeight="1">
      <c r="A89" s="27" t="str">
        <f>IF(Personnes!A44="","",Personnes!A44)</f>
        <v/>
      </c>
      <c r="B89" s="27" t="str">
        <f>IF(A89="","",Personnes!B44)</f>
        <v/>
      </c>
      <c r="C89" s="26" t="str">
        <f>IF(OR($A89="",1&gt;Paramètres!$B$9),"",SUMIF(Calculs!$B$8:$B$247,$A89,Calculs!$X$8:$X$247))</f>
        <v/>
      </c>
      <c r="D89" s="26" t="str">
        <f>IF(OR($A89="",2&gt;Paramètres!$B$9),"",SUMIF(Calculs!$B$8:$B$247,$A89,Calculs!$Y$8:$Y$247))</f>
        <v/>
      </c>
      <c r="E89" s="26" t="str">
        <f>IF(OR($A89="",3&gt;Paramètres!$B$9),"",SUMIF(Calculs!$B$8:$B$247,$A89,Calculs!$Z$8:$Z$247))</f>
        <v/>
      </c>
      <c r="F89" s="26" t="str">
        <f>IF(OR($A89="",4&gt;Paramètres!$B$9),"",SUMIF(Calculs!$B$8:$B$247,$A89,Calculs!$AA$8:$AA$247))</f>
        <v/>
      </c>
      <c r="G89" s="26" t="str">
        <f>IF(OR($A89="",5&gt;Paramètres!$B$9),"",SUMIF(Calculs!$B$8:$B$247,$A89,Calculs!$AB$8:$AB$247))</f>
        <v/>
      </c>
      <c r="H89" s="26" t="str">
        <f>IF(OR($A89="",6&gt;Paramètres!$B$9),"",SUMIF(Calculs!$B$8:$B$247,$A89,Calculs!$AC$8:$AC$247))</f>
        <v/>
      </c>
      <c r="I89" s="26" t="str">
        <f>IF(OR($A89="",7&gt;Paramètres!$B$9),"",SUMIF(Calculs!$B$8:$B$247,$A89,Calculs!$AD$8:$AD$247))</f>
        <v/>
      </c>
      <c r="J89" s="26" t="str">
        <f>IF(OR($A89="",8&gt;Paramètres!$B$9),"",SUMIF(Calculs!$B$8:$B$247,$A89,Calculs!$AE$8:$AE$247))</f>
        <v/>
      </c>
      <c r="K89" s="26" t="str">
        <f>IF(OR($A89="",9&gt;Paramètres!$B$9),"",SUMIF(Calculs!$B$8:$B$247,$A89,Calculs!$AF$8:$AF$247))</f>
        <v/>
      </c>
      <c r="L89" s="26" t="str">
        <f>IF(OR($A89="",10&gt;Paramètres!$B$9),"",SUMIF(Calculs!$B$8:$B$247,$A89,Calculs!$AG$8:$AG$247))</f>
        <v/>
      </c>
      <c r="M89" s="26" t="str">
        <f>IF(OR($A89="",11&gt;Paramètres!$B$9),"",SUMIF(Calculs!$B$8:$B$247,$A89,Calculs!$AH$8:$AH$247))</f>
        <v/>
      </c>
      <c r="N89" s="26" t="str">
        <f>IF(OR($A89="",12&gt;Paramètres!$B$9),"",SUMIF(Calculs!$B$8:$B$247,$A89,Calculs!$AI$8:$AI$247))</f>
        <v/>
      </c>
      <c r="O89" s="26" t="str">
        <f>IF(OR($A89="",13&gt;Paramètres!$B$9),"",SUMIF(Calculs!$B$8:$B$247,$A89,Calculs!$AJ$8:$AJ$247))</f>
        <v/>
      </c>
    </row>
    <row r="90" ht="28" customHeight="1">
      <c r="A90" s="25" t="str">
        <f>IF(Personnes!A45="","",Personnes!A45)</f>
        <v/>
      </c>
      <c r="B90" s="25" t="str">
        <f>IF(A90="","",Personnes!B45)</f>
        <v/>
      </c>
      <c r="C90" s="24" t="str">
        <f>IF(OR($A90="",1&gt;Paramètres!$B$9),"",SUMIF(Calculs!$B$8:$B$247,$A90,Calculs!$X$8:$X$247))</f>
        <v/>
      </c>
      <c r="D90" s="24" t="str">
        <f>IF(OR($A90="",2&gt;Paramètres!$B$9),"",SUMIF(Calculs!$B$8:$B$247,$A90,Calculs!$Y$8:$Y$247))</f>
        <v/>
      </c>
      <c r="E90" s="24" t="str">
        <f>IF(OR($A90="",3&gt;Paramètres!$B$9),"",SUMIF(Calculs!$B$8:$B$247,$A90,Calculs!$Z$8:$Z$247))</f>
        <v/>
      </c>
      <c r="F90" s="24" t="str">
        <f>IF(OR($A90="",4&gt;Paramètres!$B$9),"",SUMIF(Calculs!$B$8:$B$247,$A90,Calculs!$AA$8:$AA$247))</f>
        <v/>
      </c>
      <c r="G90" s="24" t="str">
        <f>IF(OR($A90="",5&gt;Paramètres!$B$9),"",SUMIF(Calculs!$B$8:$B$247,$A90,Calculs!$AB$8:$AB$247))</f>
        <v/>
      </c>
      <c r="H90" s="24" t="str">
        <f>IF(OR($A90="",6&gt;Paramètres!$B$9),"",SUMIF(Calculs!$B$8:$B$247,$A90,Calculs!$AC$8:$AC$247))</f>
        <v/>
      </c>
      <c r="I90" s="24" t="str">
        <f>IF(OR($A90="",7&gt;Paramètres!$B$9),"",SUMIF(Calculs!$B$8:$B$247,$A90,Calculs!$AD$8:$AD$247))</f>
        <v/>
      </c>
      <c r="J90" s="24" t="str">
        <f>IF(OR($A90="",8&gt;Paramètres!$B$9),"",SUMIF(Calculs!$B$8:$B$247,$A90,Calculs!$AE$8:$AE$247))</f>
        <v/>
      </c>
      <c r="K90" s="24" t="str">
        <f>IF(OR($A90="",9&gt;Paramètres!$B$9),"",SUMIF(Calculs!$B$8:$B$247,$A90,Calculs!$AF$8:$AF$247))</f>
        <v/>
      </c>
      <c r="L90" s="24" t="str">
        <f>IF(OR($A90="",10&gt;Paramètres!$B$9),"",SUMIF(Calculs!$B$8:$B$247,$A90,Calculs!$AG$8:$AG$247))</f>
        <v/>
      </c>
      <c r="M90" s="24" t="str">
        <f>IF(OR($A90="",11&gt;Paramètres!$B$9),"",SUMIF(Calculs!$B$8:$B$247,$A90,Calculs!$AH$8:$AH$247))</f>
        <v/>
      </c>
      <c r="N90" s="24" t="str">
        <f>IF(OR($A90="",12&gt;Paramètres!$B$9),"",SUMIF(Calculs!$B$8:$B$247,$A90,Calculs!$AI$8:$AI$247))</f>
        <v/>
      </c>
      <c r="O90" s="24" t="str">
        <f>IF(OR($A90="",13&gt;Paramètres!$B$9),"",SUMIF(Calculs!$B$8:$B$247,$A90,Calculs!$AJ$8:$AJ$247))</f>
        <v/>
      </c>
    </row>
    <row r="91" ht="28" customHeight="1">
      <c r="A91" s="27" t="str">
        <f>IF(Personnes!A46="","",Personnes!A46)</f>
        <v/>
      </c>
      <c r="B91" s="27" t="str">
        <f>IF(A91="","",Personnes!B46)</f>
        <v/>
      </c>
      <c r="C91" s="26" t="str">
        <f>IF(OR($A91="",1&gt;Paramètres!$B$9),"",SUMIF(Calculs!$B$8:$B$247,$A91,Calculs!$X$8:$X$247))</f>
        <v/>
      </c>
      <c r="D91" s="26" t="str">
        <f>IF(OR($A91="",2&gt;Paramètres!$B$9),"",SUMIF(Calculs!$B$8:$B$247,$A91,Calculs!$Y$8:$Y$247))</f>
        <v/>
      </c>
      <c r="E91" s="26" t="str">
        <f>IF(OR($A91="",3&gt;Paramètres!$B$9),"",SUMIF(Calculs!$B$8:$B$247,$A91,Calculs!$Z$8:$Z$247))</f>
        <v/>
      </c>
      <c r="F91" s="26" t="str">
        <f>IF(OR($A91="",4&gt;Paramètres!$B$9),"",SUMIF(Calculs!$B$8:$B$247,$A91,Calculs!$AA$8:$AA$247))</f>
        <v/>
      </c>
      <c r="G91" s="26" t="str">
        <f>IF(OR($A91="",5&gt;Paramètres!$B$9),"",SUMIF(Calculs!$B$8:$B$247,$A91,Calculs!$AB$8:$AB$247))</f>
        <v/>
      </c>
      <c r="H91" s="26" t="str">
        <f>IF(OR($A91="",6&gt;Paramètres!$B$9),"",SUMIF(Calculs!$B$8:$B$247,$A91,Calculs!$AC$8:$AC$247))</f>
        <v/>
      </c>
      <c r="I91" s="26" t="str">
        <f>IF(OR($A91="",7&gt;Paramètres!$B$9),"",SUMIF(Calculs!$B$8:$B$247,$A91,Calculs!$AD$8:$AD$247))</f>
        <v/>
      </c>
      <c r="J91" s="26" t="str">
        <f>IF(OR($A91="",8&gt;Paramètres!$B$9),"",SUMIF(Calculs!$B$8:$B$247,$A91,Calculs!$AE$8:$AE$247))</f>
        <v/>
      </c>
      <c r="K91" s="26" t="str">
        <f>IF(OR($A91="",9&gt;Paramètres!$B$9),"",SUMIF(Calculs!$B$8:$B$247,$A91,Calculs!$AF$8:$AF$247))</f>
        <v/>
      </c>
      <c r="L91" s="26" t="str">
        <f>IF(OR($A91="",10&gt;Paramètres!$B$9),"",SUMIF(Calculs!$B$8:$B$247,$A91,Calculs!$AG$8:$AG$247))</f>
        <v/>
      </c>
      <c r="M91" s="26" t="str">
        <f>IF(OR($A91="",11&gt;Paramètres!$B$9),"",SUMIF(Calculs!$B$8:$B$247,$A91,Calculs!$AH$8:$AH$247))</f>
        <v/>
      </c>
      <c r="N91" s="26" t="str">
        <f>IF(OR($A91="",12&gt;Paramètres!$B$9),"",SUMIF(Calculs!$B$8:$B$247,$A91,Calculs!$AI$8:$AI$247))</f>
        <v/>
      </c>
      <c r="O91" s="26" t="str">
        <f>IF(OR($A91="",13&gt;Paramètres!$B$9),"",SUMIF(Calculs!$B$8:$B$247,$A91,Calculs!$AJ$8:$AJ$247))</f>
        <v/>
      </c>
    </row>
    <row r="92" ht="28" customHeight="1">
      <c r="A92" s="25" t="str">
        <f>IF(Personnes!A47="","",Personnes!A47)</f>
        <v/>
      </c>
      <c r="B92" s="25" t="str">
        <f>IF(A92="","",Personnes!B47)</f>
        <v/>
      </c>
      <c r="C92" s="24" t="str">
        <f>IF(OR($A92="",1&gt;Paramètres!$B$9),"",SUMIF(Calculs!$B$8:$B$247,$A92,Calculs!$X$8:$X$247))</f>
        <v/>
      </c>
      <c r="D92" s="24" t="str">
        <f>IF(OR($A92="",2&gt;Paramètres!$B$9),"",SUMIF(Calculs!$B$8:$B$247,$A92,Calculs!$Y$8:$Y$247))</f>
        <v/>
      </c>
      <c r="E92" s="24" t="str">
        <f>IF(OR($A92="",3&gt;Paramètres!$B$9),"",SUMIF(Calculs!$B$8:$B$247,$A92,Calculs!$Z$8:$Z$247))</f>
        <v/>
      </c>
      <c r="F92" s="24" t="str">
        <f>IF(OR($A92="",4&gt;Paramètres!$B$9),"",SUMIF(Calculs!$B$8:$B$247,$A92,Calculs!$AA$8:$AA$247))</f>
        <v/>
      </c>
      <c r="G92" s="24" t="str">
        <f>IF(OR($A92="",5&gt;Paramètres!$B$9),"",SUMIF(Calculs!$B$8:$B$247,$A92,Calculs!$AB$8:$AB$247))</f>
        <v/>
      </c>
      <c r="H92" s="24" t="str">
        <f>IF(OR($A92="",6&gt;Paramètres!$B$9),"",SUMIF(Calculs!$B$8:$B$247,$A92,Calculs!$AC$8:$AC$247))</f>
        <v/>
      </c>
      <c r="I92" s="24" t="str">
        <f>IF(OR($A92="",7&gt;Paramètres!$B$9),"",SUMIF(Calculs!$B$8:$B$247,$A92,Calculs!$AD$8:$AD$247))</f>
        <v/>
      </c>
      <c r="J92" s="24" t="str">
        <f>IF(OR($A92="",8&gt;Paramètres!$B$9),"",SUMIF(Calculs!$B$8:$B$247,$A92,Calculs!$AE$8:$AE$247))</f>
        <v/>
      </c>
      <c r="K92" s="24" t="str">
        <f>IF(OR($A92="",9&gt;Paramètres!$B$9),"",SUMIF(Calculs!$B$8:$B$247,$A92,Calculs!$AF$8:$AF$247))</f>
        <v/>
      </c>
      <c r="L92" s="24" t="str">
        <f>IF(OR($A92="",10&gt;Paramètres!$B$9),"",SUMIF(Calculs!$B$8:$B$247,$A92,Calculs!$AG$8:$AG$247))</f>
        <v/>
      </c>
      <c r="M92" s="24" t="str">
        <f>IF(OR($A92="",11&gt;Paramètres!$B$9),"",SUMIF(Calculs!$B$8:$B$247,$A92,Calculs!$AH$8:$AH$247))</f>
        <v/>
      </c>
      <c r="N92" s="24" t="str">
        <f>IF(OR($A92="",12&gt;Paramètres!$B$9),"",SUMIF(Calculs!$B$8:$B$247,$A92,Calculs!$AI$8:$AI$247))</f>
        <v/>
      </c>
      <c r="O92" s="24" t="str">
        <f>IF(OR($A92="",13&gt;Paramètres!$B$9),"",SUMIF(Calculs!$B$8:$B$247,$A92,Calculs!$AJ$8:$AJ$247))</f>
        <v/>
      </c>
    </row>
    <row r="97" ht="28" customHeight="1">
      <c r="A97" s="23" t="inlineStr">
        <is>
          <t>MARGE (capacité − charge)</t>
        </is>
      </c>
      <c r="B97" s="23" t="inlineStr">
        <is>
          <t>Nom / équipe</t>
        </is>
      </c>
      <c r="C97" s="29" t="n">
        <f>IFERROR(IF(1&lt;=Paramètres!$B$9,Paramètres!$B$8+0,""),"")</f>
        <v>46300</v>
      </c>
      <c r="D97" s="29" t="n">
        <f>IFERROR(IF(2&lt;=Paramètres!$B$9,Paramètres!$B$8+7,""),"")</f>
        <v>46307</v>
      </c>
      <c r="E97" s="29" t="n">
        <f>IFERROR(IF(3&lt;=Paramètres!$B$9,Paramètres!$B$8+14,""),"")</f>
        <v>46314</v>
      </c>
      <c r="F97" s="29" t="n">
        <f>IFERROR(IF(4&lt;=Paramètres!$B$9,Paramètres!$B$8+21,""),"")</f>
        <v>46321</v>
      </c>
      <c r="G97" s="29" t="n">
        <f>IFERROR(IF(5&lt;=Paramètres!$B$9,Paramètres!$B$8+28,""),"")</f>
        <v>46328</v>
      </c>
      <c r="H97" s="29" t="n">
        <f>IFERROR(IF(6&lt;=Paramètres!$B$9,Paramètres!$B$8+35,""),"")</f>
        <v>46335</v>
      </c>
      <c r="I97" s="29" t="n">
        <f>IFERROR(IF(7&lt;=Paramètres!$B$9,Paramètres!$B$8+42,""),"")</f>
        <v>46342</v>
      </c>
      <c r="J97" s="29" t="n">
        <f>IFERROR(IF(8&lt;=Paramètres!$B$9,Paramètres!$B$8+49,""),"")</f>
        <v>46349</v>
      </c>
      <c r="K97" s="29" t="n">
        <f>IFERROR(IF(9&lt;=Paramètres!$B$9,Paramètres!$B$8+56,""),"")</f>
        <v>46356</v>
      </c>
      <c r="L97" s="29" t="n">
        <f>IFERROR(IF(10&lt;=Paramètres!$B$9,Paramètres!$B$8+63,""),"")</f>
        <v>46363</v>
      </c>
      <c r="M97" s="29" t="n">
        <f>IFERROR(IF(11&lt;=Paramètres!$B$9,Paramètres!$B$8+70,""),"")</f>
        <v>46370</v>
      </c>
      <c r="N97" s="29" t="n">
        <f>IFERROR(IF(12&lt;=Paramètres!$B$9,Paramètres!$B$8+77,""),"")</f>
        <v>46377</v>
      </c>
      <c r="O97" s="29" t="n">
        <f>IFERROR(IF(13&lt;=Paramètres!$B$9,Paramètres!$B$8+84,""),"")</f>
        <v>46384</v>
      </c>
    </row>
    <row r="98" ht="28" customHeight="1">
      <c r="A98" s="25" t="str">
        <f>IF(Personnes!A8="","",Personnes!A8)</f>
        <v/>
      </c>
      <c r="B98" s="25" t="str">
        <f>IF(A98="","",Personnes!B8)</f>
        <v/>
      </c>
      <c r="C98" s="24" t="str">
        <f>IF(OR($A98="",1&gt;Paramètres!$B$9),"",C8-C53)</f>
        <v/>
      </c>
      <c r="D98" s="24" t="str">
        <f>IF(OR($A98="",2&gt;Paramètres!$B$9),"",D8-D53)</f>
        <v/>
      </c>
      <c r="E98" s="24" t="str">
        <f>IF(OR($A98="",3&gt;Paramètres!$B$9),"",E8-E53)</f>
        <v/>
      </c>
      <c r="F98" s="24" t="str">
        <f>IF(OR($A98="",4&gt;Paramètres!$B$9),"",F8-F53)</f>
        <v/>
      </c>
      <c r="G98" s="24" t="str">
        <f>IF(OR($A98="",5&gt;Paramètres!$B$9),"",G8-G53)</f>
        <v/>
      </c>
      <c r="H98" s="24" t="str">
        <f>IF(OR($A98="",6&gt;Paramètres!$B$9),"",H8-H53)</f>
        <v/>
      </c>
      <c r="I98" s="24" t="str">
        <f>IF(OR($A98="",7&gt;Paramètres!$B$9),"",I8-I53)</f>
        <v/>
      </c>
      <c r="J98" s="24" t="str">
        <f>IF(OR($A98="",8&gt;Paramètres!$B$9),"",J8-J53)</f>
        <v/>
      </c>
      <c r="K98" s="24" t="str">
        <f>IF(OR($A98="",9&gt;Paramètres!$B$9),"",K8-K53)</f>
        <v/>
      </c>
      <c r="L98" s="24" t="str">
        <f>IF(OR($A98="",10&gt;Paramètres!$B$9),"",L8-L53)</f>
        <v/>
      </c>
      <c r="M98" s="24" t="str">
        <f>IF(OR($A98="",11&gt;Paramètres!$B$9),"",M8-M53)</f>
        <v/>
      </c>
      <c r="N98" s="24" t="str">
        <f>IF(OR($A98="",12&gt;Paramètres!$B$9),"",N8-N53)</f>
        <v/>
      </c>
      <c r="O98" s="24" t="str">
        <f>IF(OR($A98="",13&gt;Paramètres!$B$9),"",O8-O53)</f>
        <v/>
      </c>
    </row>
    <row r="99" ht="28" customHeight="1">
      <c r="A99" s="27" t="str">
        <f>IF(Personnes!A9="","",Personnes!A9)</f>
        <v/>
      </c>
      <c r="B99" s="27" t="str">
        <f>IF(A99="","",Personnes!B9)</f>
        <v/>
      </c>
      <c r="C99" s="26" t="str">
        <f>IF(OR($A99="",1&gt;Paramètres!$B$9),"",C9-C54)</f>
        <v/>
      </c>
      <c r="D99" s="26" t="str">
        <f>IF(OR($A99="",2&gt;Paramètres!$B$9),"",D9-D54)</f>
        <v/>
      </c>
      <c r="E99" s="26" t="str">
        <f>IF(OR($A99="",3&gt;Paramètres!$B$9),"",E9-E54)</f>
        <v/>
      </c>
      <c r="F99" s="26" t="str">
        <f>IF(OR($A99="",4&gt;Paramètres!$B$9),"",F9-F54)</f>
        <v/>
      </c>
      <c r="G99" s="26" t="str">
        <f>IF(OR($A99="",5&gt;Paramètres!$B$9),"",G9-G54)</f>
        <v/>
      </c>
      <c r="H99" s="26" t="str">
        <f>IF(OR($A99="",6&gt;Paramètres!$B$9),"",H9-H54)</f>
        <v/>
      </c>
      <c r="I99" s="26" t="str">
        <f>IF(OR($A99="",7&gt;Paramètres!$B$9),"",I9-I54)</f>
        <v/>
      </c>
      <c r="J99" s="26" t="str">
        <f>IF(OR($A99="",8&gt;Paramètres!$B$9),"",J9-J54)</f>
        <v/>
      </c>
      <c r="K99" s="26" t="str">
        <f>IF(OR($A99="",9&gt;Paramètres!$B$9),"",K9-K54)</f>
        <v/>
      </c>
      <c r="L99" s="26" t="str">
        <f>IF(OR($A99="",10&gt;Paramètres!$B$9),"",L9-L54)</f>
        <v/>
      </c>
      <c r="M99" s="26" t="str">
        <f>IF(OR($A99="",11&gt;Paramètres!$B$9),"",M9-M54)</f>
        <v/>
      </c>
      <c r="N99" s="26" t="str">
        <f>IF(OR($A99="",12&gt;Paramètres!$B$9),"",N9-N54)</f>
        <v/>
      </c>
      <c r="O99" s="26" t="str">
        <f>IF(OR($A99="",13&gt;Paramètres!$B$9),"",O9-O54)</f>
        <v/>
      </c>
    </row>
    <row r="100" ht="28" customHeight="1">
      <c r="A100" s="25" t="str">
        <f>IF(Personnes!A10="","",Personnes!A10)</f>
        <v/>
      </c>
      <c r="B100" s="25" t="str">
        <f>IF(A100="","",Personnes!B10)</f>
        <v/>
      </c>
      <c r="C100" s="24" t="str">
        <f>IF(OR($A100="",1&gt;Paramètres!$B$9),"",C10-C55)</f>
        <v/>
      </c>
      <c r="D100" s="24" t="str">
        <f>IF(OR($A100="",2&gt;Paramètres!$B$9),"",D10-D55)</f>
        <v/>
      </c>
      <c r="E100" s="24" t="str">
        <f>IF(OR($A100="",3&gt;Paramètres!$B$9),"",E10-E55)</f>
        <v/>
      </c>
      <c r="F100" s="24" t="str">
        <f>IF(OR($A100="",4&gt;Paramètres!$B$9),"",F10-F55)</f>
        <v/>
      </c>
      <c r="G100" s="24" t="str">
        <f>IF(OR($A100="",5&gt;Paramètres!$B$9),"",G10-G55)</f>
        <v/>
      </c>
      <c r="H100" s="24" t="str">
        <f>IF(OR($A100="",6&gt;Paramètres!$B$9),"",H10-H55)</f>
        <v/>
      </c>
      <c r="I100" s="24" t="str">
        <f>IF(OR($A100="",7&gt;Paramètres!$B$9),"",I10-I55)</f>
        <v/>
      </c>
      <c r="J100" s="24" t="str">
        <f>IF(OR($A100="",8&gt;Paramètres!$B$9),"",J10-J55)</f>
        <v/>
      </c>
      <c r="K100" s="24" t="str">
        <f>IF(OR($A100="",9&gt;Paramètres!$B$9),"",K10-K55)</f>
        <v/>
      </c>
      <c r="L100" s="24" t="str">
        <f>IF(OR($A100="",10&gt;Paramètres!$B$9),"",L10-L55)</f>
        <v/>
      </c>
      <c r="M100" s="24" t="str">
        <f>IF(OR($A100="",11&gt;Paramètres!$B$9),"",M10-M55)</f>
        <v/>
      </c>
      <c r="N100" s="24" t="str">
        <f>IF(OR($A100="",12&gt;Paramètres!$B$9),"",N10-N55)</f>
        <v/>
      </c>
      <c r="O100" s="24" t="str">
        <f>IF(OR($A100="",13&gt;Paramètres!$B$9),"",O10-O55)</f>
        <v/>
      </c>
    </row>
    <row r="101" ht="28" customHeight="1">
      <c r="A101" s="27" t="str">
        <f>IF(Personnes!A11="","",Personnes!A11)</f>
        <v/>
      </c>
      <c r="B101" s="27" t="str">
        <f>IF(A101="","",Personnes!B11)</f>
        <v/>
      </c>
      <c r="C101" s="26" t="str">
        <f>IF(OR($A101="",1&gt;Paramètres!$B$9),"",C11-C56)</f>
        <v/>
      </c>
      <c r="D101" s="26" t="str">
        <f>IF(OR($A101="",2&gt;Paramètres!$B$9),"",D11-D56)</f>
        <v/>
      </c>
      <c r="E101" s="26" t="str">
        <f>IF(OR($A101="",3&gt;Paramètres!$B$9),"",E11-E56)</f>
        <v/>
      </c>
      <c r="F101" s="26" t="str">
        <f>IF(OR($A101="",4&gt;Paramètres!$B$9),"",F11-F56)</f>
        <v/>
      </c>
      <c r="G101" s="26" t="str">
        <f>IF(OR($A101="",5&gt;Paramètres!$B$9),"",G11-G56)</f>
        <v/>
      </c>
      <c r="H101" s="26" t="str">
        <f>IF(OR($A101="",6&gt;Paramètres!$B$9),"",H11-H56)</f>
        <v/>
      </c>
      <c r="I101" s="26" t="str">
        <f>IF(OR($A101="",7&gt;Paramètres!$B$9),"",I11-I56)</f>
        <v/>
      </c>
      <c r="J101" s="26" t="str">
        <f>IF(OR($A101="",8&gt;Paramètres!$B$9),"",J11-J56)</f>
        <v/>
      </c>
      <c r="K101" s="26" t="str">
        <f>IF(OR($A101="",9&gt;Paramètres!$B$9),"",K11-K56)</f>
        <v/>
      </c>
      <c r="L101" s="26" t="str">
        <f>IF(OR($A101="",10&gt;Paramètres!$B$9),"",L11-L56)</f>
        <v/>
      </c>
      <c r="M101" s="26" t="str">
        <f>IF(OR($A101="",11&gt;Paramètres!$B$9),"",M11-M56)</f>
        <v/>
      </c>
      <c r="N101" s="26" t="str">
        <f>IF(OR($A101="",12&gt;Paramètres!$B$9),"",N11-N56)</f>
        <v/>
      </c>
      <c r="O101" s="26" t="str">
        <f>IF(OR($A101="",13&gt;Paramètres!$B$9),"",O11-O56)</f>
        <v/>
      </c>
    </row>
    <row r="102" ht="28" customHeight="1">
      <c r="A102" s="25" t="str">
        <f>IF(Personnes!A12="","",Personnes!A12)</f>
        <v/>
      </c>
      <c r="B102" s="25" t="str">
        <f>IF(A102="","",Personnes!B12)</f>
        <v/>
      </c>
      <c r="C102" s="24" t="str">
        <f>IF(OR($A102="",1&gt;Paramètres!$B$9),"",C12-C57)</f>
        <v/>
      </c>
      <c r="D102" s="24" t="str">
        <f>IF(OR($A102="",2&gt;Paramètres!$B$9),"",D12-D57)</f>
        <v/>
      </c>
      <c r="E102" s="24" t="str">
        <f>IF(OR($A102="",3&gt;Paramètres!$B$9),"",E12-E57)</f>
        <v/>
      </c>
      <c r="F102" s="24" t="str">
        <f>IF(OR($A102="",4&gt;Paramètres!$B$9),"",F12-F57)</f>
        <v/>
      </c>
      <c r="G102" s="24" t="str">
        <f>IF(OR($A102="",5&gt;Paramètres!$B$9),"",G12-G57)</f>
        <v/>
      </c>
      <c r="H102" s="24" t="str">
        <f>IF(OR($A102="",6&gt;Paramètres!$B$9),"",H12-H57)</f>
        <v/>
      </c>
      <c r="I102" s="24" t="str">
        <f>IF(OR($A102="",7&gt;Paramètres!$B$9),"",I12-I57)</f>
        <v/>
      </c>
      <c r="J102" s="24" t="str">
        <f>IF(OR($A102="",8&gt;Paramètres!$B$9),"",J12-J57)</f>
        <v/>
      </c>
      <c r="K102" s="24" t="str">
        <f>IF(OR($A102="",9&gt;Paramètres!$B$9),"",K12-K57)</f>
        <v/>
      </c>
      <c r="L102" s="24" t="str">
        <f>IF(OR($A102="",10&gt;Paramètres!$B$9),"",L12-L57)</f>
        <v/>
      </c>
      <c r="M102" s="24" t="str">
        <f>IF(OR($A102="",11&gt;Paramètres!$B$9),"",M12-M57)</f>
        <v/>
      </c>
      <c r="N102" s="24" t="str">
        <f>IF(OR($A102="",12&gt;Paramètres!$B$9),"",N12-N57)</f>
        <v/>
      </c>
      <c r="O102" s="24" t="str">
        <f>IF(OR($A102="",13&gt;Paramètres!$B$9),"",O12-O57)</f>
        <v/>
      </c>
    </row>
    <row r="103" ht="28" customHeight="1">
      <c r="A103" s="27" t="str">
        <f>IF(Personnes!A13="","",Personnes!A13)</f>
        <v/>
      </c>
      <c r="B103" s="27" t="str">
        <f>IF(A103="","",Personnes!B13)</f>
        <v/>
      </c>
      <c r="C103" s="26" t="str">
        <f>IF(OR($A103="",1&gt;Paramètres!$B$9),"",C13-C58)</f>
        <v/>
      </c>
      <c r="D103" s="26" t="str">
        <f>IF(OR($A103="",2&gt;Paramètres!$B$9),"",D13-D58)</f>
        <v/>
      </c>
      <c r="E103" s="26" t="str">
        <f>IF(OR($A103="",3&gt;Paramètres!$B$9),"",E13-E58)</f>
        <v/>
      </c>
      <c r="F103" s="26" t="str">
        <f>IF(OR($A103="",4&gt;Paramètres!$B$9),"",F13-F58)</f>
        <v/>
      </c>
      <c r="G103" s="26" t="str">
        <f>IF(OR($A103="",5&gt;Paramètres!$B$9),"",G13-G58)</f>
        <v/>
      </c>
      <c r="H103" s="26" t="str">
        <f>IF(OR($A103="",6&gt;Paramètres!$B$9),"",H13-H58)</f>
        <v/>
      </c>
      <c r="I103" s="26" t="str">
        <f>IF(OR($A103="",7&gt;Paramètres!$B$9),"",I13-I58)</f>
        <v/>
      </c>
      <c r="J103" s="26" t="str">
        <f>IF(OR($A103="",8&gt;Paramètres!$B$9),"",J13-J58)</f>
        <v/>
      </c>
      <c r="K103" s="26" t="str">
        <f>IF(OR($A103="",9&gt;Paramètres!$B$9),"",K13-K58)</f>
        <v/>
      </c>
      <c r="L103" s="26" t="str">
        <f>IF(OR($A103="",10&gt;Paramètres!$B$9),"",L13-L58)</f>
        <v/>
      </c>
      <c r="M103" s="26" t="str">
        <f>IF(OR($A103="",11&gt;Paramètres!$B$9),"",M13-M58)</f>
        <v/>
      </c>
      <c r="N103" s="26" t="str">
        <f>IF(OR($A103="",12&gt;Paramètres!$B$9),"",N13-N58)</f>
        <v/>
      </c>
      <c r="O103" s="26" t="str">
        <f>IF(OR($A103="",13&gt;Paramètres!$B$9),"",O13-O58)</f>
        <v/>
      </c>
    </row>
    <row r="104" ht="28" customHeight="1">
      <c r="A104" s="25" t="str">
        <f>IF(Personnes!A14="","",Personnes!A14)</f>
        <v/>
      </c>
      <c r="B104" s="25" t="str">
        <f>IF(A104="","",Personnes!B14)</f>
        <v/>
      </c>
      <c r="C104" s="24" t="str">
        <f>IF(OR($A104="",1&gt;Paramètres!$B$9),"",C14-C59)</f>
        <v/>
      </c>
      <c r="D104" s="24" t="str">
        <f>IF(OR($A104="",2&gt;Paramètres!$B$9),"",D14-D59)</f>
        <v/>
      </c>
      <c r="E104" s="24" t="str">
        <f>IF(OR($A104="",3&gt;Paramètres!$B$9),"",E14-E59)</f>
        <v/>
      </c>
      <c r="F104" s="24" t="str">
        <f>IF(OR($A104="",4&gt;Paramètres!$B$9),"",F14-F59)</f>
        <v/>
      </c>
      <c r="G104" s="24" t="str">
        <f>IF(OR($A104="",5&gt;Paramètres!$B$9),"",G14-G59)</f>
        <v/>
      </c>
      <c r="H104" s="24" t="str">
        <f>IF(OR($A104="",6&gt;Paramètres!$B$9),"",H14-H59)</f>
        <v/>
      </c>
      <c r="I104" s="24" t="str">
        <f>IF(OR($A104="",7&gt;Paramètres!$B$9),"",I14-I59)</f>
        <v/>
      </c>
      <c r="J104" s="24" t="str">
        <f>IF(OR($A104="",8&gt;Paramètres!$B$9),"",J14-J59)</f>
        <v/>
      </c>
      <c r="K104" s="24" t="str">
        <f>IF(OR($A104="",9&gt;Paramètres!$B$9),"",K14-K59)</f>
        <v/>
      </c>
      <c r="L104" s="24" t="str">
        <f>IF(OR($A104="",10&gt;Paramètres!$B$9),"",L14-L59)</f>
        <v/>
      </c>
      <c r="M104" s="24" t="str">
        <f>IF(OR($A104="",11&gt;Paramètres!$B$9),"",M14-M59)</f>
        <v/>
      </c>
      <c r="N104" s="24" t="str">
        <f>IF(OR($A104="",12&gt;Paramètres!$B$9),"",N14-N59)</f>
        <v/>
      </c>
      <c r="O104" s="24" t="str">
        <f>IF(OR($A104="",13&gt;Paramètres!$B$9),"",O14-O59)</f>
        <v/>
      </c>
    </row>
    <row r="105" ht="28" customHeight="1">
      <c r="A105" s="27" t="str">
        <f>IF(Personnes!A15="","",Personnes!A15)</f>
        <v/>
      </c>
      <c r="B105" s="27" t="str">
        <f>IF(A105="","",Personnes!B15)</f>
        <v/>
      </c>
      <c r="C105" s="26" t="str">
        <f>IF(OR($A105="",1&gt;Paramètres!$B$9),"",C15-C60)</f>
        <v/>
      </c>
      <c r="D105" s="26" t="str">
        <f>IF(OR($A105="",2&gt;Paramètres!$B$9),"",D15-D60)</f>
        <v/>
      </c>
      <c r="E105" s="26" t="str">
        <f>IF(OR($A105="",3&gt;Paramètres!$B$9),"",E15-E60)</f>
        <v/>
      </c>
      <c r="F105" s="26" t="str">
        <f>IF(OR($A105="",4&gt;Paramètres!$B$9),"",F15-F60)</f>
        <v/>
      </c>
      <c r="G105" s="26" t="str">
        <f>IF(OR($A105="",5&gt;Paramètres!$B$9),"",G15-G60)</f>
        <v/>
      </c>
      <c r="H105" s="26" t="str">
        <f>IF(OR($A105="",6&gt;Paramètres!$B$9),"",H15-H60)</f>
        <v/>
      </c>
      <c r="I105" s="26" t="str">
        <f>IF(OR($A105="",7&gt;Paramètres!$B$9),"",I15-I60)</f>
        <v/>
      </c>
      <c r="J105" s="26" t="str">
        <f>IF(OR($A105="",8&gt;Paramètres!$B$9),"",J15-J60)</f>
        <v/>
      </c>
      <c r="K105" s="26" t="str">
        <f>IF(OR($A105="",9&gt;Paramètres!$B$9),"",K15-K60)</f>
        <v/>
      </c>
      <c r="L105" s="26" t="str">
        <f>IF(OR($A105="",10&gt;Paramètres!$B$9),"",L15-L60)</f>
        <v/>
      </c>
      <c r="M105" s="26" t="str">
        <f>IF(OR($A105="",11&gt;Paramètres!$B$9),"",M15-M60)</f>
        <v/>
      </c>
      <c r="N105" s="26" t="str">
        <f>IF(OR($A105="",12&gt;Paramètres!$B$9),"",N15-N60)</f>
        <v/>
      </c>
      <c r="O105" s="26" t="str">
        <f>IF(OR($A105="",13&gt;Paramètres!$B$9),"",O15-O60)</f>
        <v/>
      </c>
    </row>
    <row r="106" ht="28" customHeight="1">
      <c r="A106" s="25" t="str">
        <f>IF(Personnes!A16="","",Personnes!A16)</f>
        <v/>
      </c>
      <c r="B106" s="25" t="str">
        <f>IF(A106="","",Personnes!B16)</f>
        <v/>
      </c>
      <c r="C106" s="24" t="str">
        <f>IF(OR($A106="",1&gt;Paramètres!$B$9),"",C16-C61)</f>
        <v/>
      </c>
      <c r="D106" s="24" t="str">
        <f>IF(OR($A106="",2&gt;Paramètres!$B$9),"",D16-D61)</f>
        <v/>
      </c>
      <c r="E106" s="24" t="str">
        <f>IF(OR($A106="",3&gt;Paramètres!$B$9),"",E16-E61)</f>
        <v/>
      </c>
      <c r="F106" s="24" t="str">
        <f>IF(OR($A106="",4&gt;Paramètres!$B$9),"",F16-F61)</f>
        <v/>
      </c>
      <c r="G106" s="24" t="str">
        <f>IF(OR($A106="",5&gt;Paramètres!$B$9),"",G16-G61)</f>
        <v/>
      </c>
      <c r="H106" s="24" t="str">
        <f>IF(OR($A106="",6&gt;Paramètres!$B$9),"",H16-H61)</f>
        <v/>
      </c>
      <c r="I106" s="24" t="str">
        <f>IF(OR($A106="",7&gt;Paramètres!$B$9),"",I16-I61)</f>
        <v/>
      </c>
      <c r="J106" s="24" t="str">
        <f>IF(OR($A106="",8&gt;Paramètres!$B$9),"",J16-J61)</f>
        <v/>
      </c>
      <c r="K106" s="24" t="str">
        <f>IF(OR($A106="",9&gt;Paramètres!$B$9),"",K16-K61)</f>
        <v/>
      </c>
      <c r="L106" s="24" t="str">
        <f>IF(OR($A106="",10&gt;Paramètres!$B$9),"",L16-L61)</f>
        <v/>
      </c>
      <c r="M106" s="24" t="str">
        <f>IF(OR($A106="",11&gt;Paramètres!$B$9),"",M16-M61)</f>
        <v/>
      </c>
      <c r="N106" s="24" t="str">
        <f>IF(OR($A106="",12&gt;Paramètres!$B$9),"",N16-N61)</f>
        <v/>
      </c>
      <c r="O106" s="24" t="str">
        <f>IF(OR($A106="",13&gt;Paramètres!$B$9),"",O16-O61)</f>
        <v/>
      </c>
    </row>
    <row r="107" ht="28" customHeight="1">
      <c r="A107" s="27" t="str">
        <f>IF(Personnes!A17="","",Personnes!A17)</f>
        <v/>
      </c>
      <c r="B107" s="27" t="str">
        <f>IF(A107="","",Personnes!B17)</f>
        <v/>
      </c>
      <c r="C107" s="26" t="str">
        <f>IF(OR($A107="",1&gt;Paramètres!$B$9),"",C17-C62)</f>
        <v/>
      </c>
      <c r="D107" s="26" t="str">
        <f>IF(OR($A107="",2&gt;Paramètres!$B$9),"",D17-D62)</f>
        <v/>
      </c>
      <c r="E107" s="26" t="str">
        <f>IF(OR($A107="",3&gt;Paramètres!$B$9),"",E17-E62)</f>
        <v/>
      </c>
      <c r="F107" s="26" t="str">
        <f>IF(OR($A107="",4&gt;Paramètres!$B$9),"",F17-F62)</f>
        <v/>
      </c>
      <c r="G107" s="26" t="str">
        <f>IF(OR($A107="",5&gt;Paramètres!$B$9),"",G17-G62)</f>
        <v/>
      </c>
      <c r="H107" s="26" t="str">
        <f>IF(OR($A107="",6&gt;Paramètres!$B$9),"",H17-H62)</f>
        <v/>
      </c>
      <c r="I107" s="26" t="str">
        <f>IF(OR($A107="",7&gt;Paramètres!$B$9),"",I17-I62)</f>
        <v/>
      </c>
      <c r="J107" s="26" t="str">
        <f>IF(OR($A107="",8&gt;Paramètres!$B$9),"",J17-J62)</f>
        <v/>
      </c>
      <c r="K107" s="26" t="str">
        <f>IF(OR($A107="",9&gt;Paramètres!$B$9),"",K17-K62)</f>
        <v/>
      </c>
      <c r="L107" s="26" t="str">
        <f>IF(OR($A107="",10&gt;Paramètres!$B$9),"",L17-L62)</f>
        <v/>
      </c>
      <c r="M107" s="26" t="str">
        <f>IF(OR($A107="",11&gt;Paramètres!$B$9),"",M17-M62)</f>
        <v/>
      </c>
      <c r="N107" s="26" t="str">
        <f>IF(OR($A107="",12&gt;Paramètres!$B$9),"",N17-N62)</f>
        <v/>
      </c>
      <c r="O107" s="26" t="str">
        <f>IF(OR($A107="",13&gt;Paramètres!$B$9),"",O17-O62)</f>
        <v/>
      </c>
    </row>
    <row r="108" ht="28" customHeight="1">
      <c r="A108" s="25" t="str">
        <f>IF(Personnes!A18="","",Personnes!A18)</f>
        <v/>
      </c>
      <c r="B108" s="25" t="str">
        <f>IF(A108="","",Personnes!B18)</f>
        <v/>
      </c>
      <c r="C108" s="24" t="str">
        <f>IF(OR($A108="",1&gt;Paramètres!$B$9),"",C18-C63)</f>
        <v/>
      </c>
      <c r="D108" s="24" t="str">
        <f>IF(OR($A108="",2&gt;Paramètres!$B$9),"",D18-D63)</f>
        <v/>
      </c>
      <c r="E108" s="24" t="str">
        <f>IF(OR($A108="",3&gt;Paramètres!$B$9),"",E18-E63)</f>
        <v/>
      </c>
      <c r="F108" s="24" t="str">
        <f>IF(OR($A108="",4&gt;Paramètres!$B$9),"",F18-F63)</f>
        <v/>
      </c>
      <c r="G108" s="24" t="str">
        <f>IF(OR($A108="",5&gt;Paramètres!$B$9),"",G18-G63)</f>
        <v/>
      </c>
      <c r="H108" s="24" t="str">
        <f>IF(OR($A108="",6&gt;Paramètres!$B$9),"",H18-H63)</f>
        <v/>
      </c>
      <c r="I108" s="24" t="str">
        <f>IF(OR($A108="",7&gt;Paramètres!$B$9),"",I18-I63)</f>
        <v/>
      </c>
      <c r="J108" s="24" t="str">
        <f>IF(OR($A108="",8&gt;Paramètres!$B$9),"",J18-J63)</f>
        <v/>
      </c>
      <c r="K108" s="24" t="str">
        <f>IF(OR($A108="",9&gt;Paramètres!$B$9),"",K18-K63)</f>
        <v/>
      </c>
      <c r="L108" s="24" t="str">
        <f>IF(OR($A108="",10&gt;Paramètres!$B$9),"",L18-L63)</f>
        <v/>
      </c>
      <c r="M108" s="24" t="str">
        <f>IF(OR($A108="",11&gt;Paramètres!$B$9),"",M18-M63)</f>
        <v/>
      </c>
      <c r="N108" s="24" t="str">
        <f>IF(OR($A108="",12&gt;Paramètres!$B$9),"",N18-N63)</f>
        <v/>
      </c>
      <c r="O108" s="24" t="str">
        <f>IF(OR($A108="",13&gt;Paramètres!$B$9),"",O18-O63)</f>
        <v/>
      </c>
    </row>
    <row r="109" ht="28" customHeight="1">
      <c r="A109" s="27" t="str">
        <f>IF(Personnes!A19="","",Personnes!A19)</f>
        <v/>
      </c>
      <c r="B109" s="27" t="str">
        <f>IF(A109="","",Personnes!B19)</f>
        <v/>
      </c>
      <c r="C109" s="26" t="str">
        <f>IF(OR($A109="",1&gt;Paramètres!$B$9),"",C19-C64)</f>
        <v/>
      </c>
      <c r="D109" s="26" t="str">
        <f>IF(OR($A109="",2&gt;Paramètres!$B$9),"",D19-D64)</f>
        <v/>
      </c>
      <c r="E109" s="26" t="str">
        <f>IF(OR($A109="",3&gt;Paramètres!$B$9),"",E19-E64)</f>
        <v/>
      </c>
      <c r="F109" s="26" t="str">
        <f>IF(OR($A109="",4&gt;Paramètres!$B$9),"",F19-F64)</f>
        <v/>
      </c>
      <c r="G109" s="26" t="str">
        <f>IF(OR($A109="",5&gt;Paramètres!$B$9),"",G19-G64)</f>
        <v/>
      </c>
      <c r="H109" s="26" t="str">
        <f>IF(OR($A109="",6&gt;Paramètres!$B$9),"",H19-H64)</f>
        <v/>
      </c>
      <c r="I109" s="26" t="str">
        <f>IF(OR($A109="",7&gt;Paramètres!$B$9),"",I19-I64)</f>
        <v/>
      </c>
      <c r="J109" s="26" t="str">
        <f>IF(OR($A109="",8&gt;Paramètres!$B$9),"",J19-J64)</f>
        <v/>
      </c>
      <c r="K109" s="26" t="str">
        <f>IF(OR($A109="",9&gt;Paramètres!$B$9),"",K19-K64)</f>
        <v/>
      </c>
      <c r="L109" s="26" t="str">
        <f>IF(OR($A109="",10&gt;Paramètres!$B$9),"",L19-L64)</f>
        <v/>
      </c>
      <c r="M109" s="26" t="str">
        <f>IF(OR($A109="",11&gt;Paramètres!$B$9),"",M19-M64)</f>
        <v/>
      </c>
      <c r="N109" s="26" t="str">
        <f>IF(OR($A109="",12&gt;Paramètres!$B$9),"",N19-N64)</f>
        <v/>
      </c>
      <c r="O109" s="26" t="str">
        <f>IF(OR($A109="",13&gt;Paramètres!$B$9),"",O19-O64)</f>
        <v/>
      </c>
    </row>
    <row r="110" ht="28" customHeight="1">
      <c r="A110" s="25" t="str">
        <f>IF(Personnes!A20="","",Personnes!A20)</f>
        <v/>
      </c>
      <c r="B110" s="25" t="str">
        <f>IF(A110="","",Personnes!B20)</f>
        <v/>
      </c>
      <c r="C110" s="24" t="str">
        <f>IF(OR($A110="",1&gt;Paramètres!$B$9),"",C20-C65)</f>
        <v/>
      </c>
      <c r="D110" s="24" t="str">
        <f>IF(OR($A110="",2&gt;Paramètres!$B$9),"",D20-D65)</f>
        <v/>
      </c>
      <c r="E110" s="24" t="str">
        <f>IF(OR($A110="",3&gt;Paramètres!$B$9),"",E20-E65)</f>
        <v/>
      </c>
      <c r="F110" s="24" t="str">
        <f>IF(OR($A110="",4&gt;Paramètres!$B$9),"",F20-F65)</f>
        <v/>
      </c>
      <c r="G110" s="24" t="str">
        <f>IF(OR($A110="",5&gt;Paramètres!$B$9),"",G20-G65)</f>
        <v/>
      </c>
      <c r="H110" s="24" t="str">
        <f>IF(OR($A110="",6&gt;Paramètres!$B$9),"",H20-H65)</f>
        <v/>
      </c>
      <c r="I110" s="24" t="str">
        <f>IF(OR($A110="",7&gt;Paramètres!$B$9),"",I20-I65)</f>
        <v/>
      </c>
      <c r="J110" s="24" t="str">
        <f>IF(OR($A110="",8&gt;Paramètres!$B$9),"",J20-J65)</f>
        <v/>
      </c>
      <c r="K110" s="24" t="str">
        <f>IF(OR($A110="",9&gt;Paramètres!$B$9),"",K20-K65)</f>
        <v/>
      </c>
      <c r="L110" s="24" t="str">
        <f>IF(OR($A110="",10&gt;Paramètres!$B$9),"",L20-L65)</f>
        <v/>
      </c>
      <c r="M110" s="24" t="str">
        <f>IF(OR($A110="",11&gt;Paramètres!$B$9),"",M20-M65)</f>
        <v/>
      </c>
      <c r="N110" s="24" t="str">
        <f>IF(OR($A110="",12&gt;Paramètres!$B$9),"",N20-N65)</f>
        <v/>
      </c>
      <c r="O110" s="24" t="str">
        <f>IF(OR($A110="",13&gt;Paramètres!$B$9),"",O20-O65)</f>
        <v/>
      </c>
    </row>
    <row r="111" ht="28" customHeight="1">
      <c r="A111" s="27" t="str">
        <f>IF(Personnes!A21="","",Personnes!A21)</f>
        <v/>
      </c>
      <c r="B111" s="27" t="str">
        <f>IF(A111="","",Personnes!B21)</f>
        <v/>
      </c>
      <c r="C111" s="26" t="str">
        <f>IF(OR($A111="",1&gt;Paramètres!$B$9),"",C21-C66)</f>
        <v/>
      </c>
      <c r="D111" s="26" t="str">
        <f>IF(OR($A111="",2&gt;Paramètres!$B$9),"",D21-D66)</f>
        <v/>
      </c>
      <c r="E111" s="26" t="str">
        <f>IF(OR($A111="",3&gt;Paramètres!$B$9),"",E21-E66)</f>
        <v/>
      </c>
      <c r="F111" s="26" t="str">
        <f>IF(OR($A111="",4&gt;Paramètres!$B$9),"",F21-F66)</f>
        <v/>
      </c>
      <c r="G111" s="26" t="str">
        <f>IF(OR($A111="",5&gt;Paramètres!$B$9),"",G21-G66)</f>
        <v/>
      </c>
      <c r="H111" s="26" t="str">
        <f>IF(OR($A111="",6&gt;Paramètres!$B$9),"",H21-H66)</f>
        <v/>
      </c>
      <c r="I111" s="26" t="str">
        <f>IF(OR($A111="",7&gt;Paramètres!$B$9),"",I21-I66)</f>
        <v/>
      </c>
      <c r="J111" s="26" t="str">
        <f>IF(OR($A111="",8&gt;Paramètres!$B$9),"",J21-J66)</f>
        <v/>
      </c>
      <c r="K111" s="26" t="str">
        <f>IF(OR($A111="",9&gt;Paramètres!$B$9),"",K21-K66)</f>
        <v/>
      </c>
      <c r="L111" s="26" t="str">
        <f>IF(OR($A111="",10&gt;Paramètres!$B$9),"",L21-L66)</f>
        <v/>
      </c>
      <c r="M111" s="26" t="str">
        <f>IF(OR($A111="",11&gt;Paramètres!$B$9),"",M21-M66)</f>
        <v/>
      </c>
      <c r="N111" s="26" t="str">
        <f>IF(OR($A111="",12&gt;Paramètres!$B$9),"",N21-N66)</f>
        <v/>
      </c>
      <c r="O111" s="26" t="str">
        <f>IF(OR($A111="",13&gt;Paramètres!$B$9),"",O21-O66)</f>
        <v/>
      </c>
    </row>
    <row r="112" ht="28" customHeight="1">
      <c r="A112" s="25" t="str">
        <f>IF(Personnes!A22="","",Personnes!A22)</f>
        <v/>
      </c>
      <c r="B112" s="25" t="str">
        <f>IF(A112="","",Personnes!B22)</f>
        <v/>
      </c>
      <c r="C112" s="24" t="str">
        <f>IF(OR($A112="",1&gt;Paramètres!$B$9),"",C22-C67)</f>
        <v/>
      </c>
      <c r="D112" s="24" t="str">
        <f>IF(OR($A112="",2&gt;Paramètres!$B$9),"",D22-D67)</f>
        <v/>
      </c>
      <c r="E112" s="24" t="str">
        <f>IF(OR($A112="",3&gt;Paramètres!$B$9),"",E22-E67)</f>
        <v/>
      </c>
      <c r="F112" s="24" t="str">
        <f>IF(OR($A112="",4&gt;Paramètres!$B$9),"",F22-F67)</f>
        <v/>
      </c>
      <c r="G112" s="24" t="str">
        <f>IF(OR($A112="",5&gt;Paramètres!$B$9),"",G22-G67)</f>
        <v/>
      </c>
      <c r="H112" s="24" t="str">
        <f>IF(OR($A112="",6&gt;Paramètres!$B$9),"",H22-H67)</f>
        <v/>
      </c>
      <c r="I112" s="24" t="str">
        <f>IF(OR($A112="",7&gt;Paramètres!$B$9),"",I22-I67)</f>
        <v/>
      </c>
      <c r="J112" s="24" t="str">
        <f>IF(OR($A112="",8&gt;Paramètres!$B$9),"",J22-J67)</f>
        <v/>
      </c>
      <c r="K112" s="24" t="str">
        <f>IF(OR($A112="",9&gt;Paramètres!$B$9),"",K22-K67)</f>
        <v/>
      </c>
      <c r="L112" s="24" t="str">
        <f>IF(OR($A112="",10&gt;Paramètres!$B$9),"",L22-L67)</f>
        <v/>
      </c>
      <c r="M112" s="24" t="str">
        <f>IF(OR($A112="",11&gt;Paramètres!$B$9),"",M22-M67)</f>
        <v/>
      </c>
      <c r="N112" s="24" t="str">
        <f>IF(OR($A112="",12&gt;Paramètres!$B$9),"",N22-N67)</f>
        <v/>
      </c>
      <c r="O112" s="24" t="str">
        <f>IF(OR($A112="",13&gt;Paramètres!$B$9),"",O22-O67)</f>
        <v/>
      </c>
    </row>
    <row r="113" ht="28" customHeight="1">
      <c r="A113" s="27" t="str">
        <f>IF(Personnes!A23="","",Personnes!A23)</f>
        <v/>
      </c>
      <c r="B113" s="27" t="str">
        <f>IF(A113="","",Personnes!B23)</f>
        <v/>
      </c>
      <c r="C113" s="26" t="str">
        <f>IF(OR($A113="",1&gt;Paramètres!$B$9),"",C23-C68)</f>
        <v/>
      </c>
      <c r="D113" s="26" t="str">
        <f>IF(OR($A113="",2&gt;Paramètres!$B$9),"",D23-D68)</f>
        <v/>
      </c>
      <c r="E113" s="26" t="str">
        <f>IF(OR($A113="",3&gt;Paramètres!$B$9),"",E23-E68)</f>
        <v/>
      </c>
      <c r="F113" s="26" t="str">
        <f>IF(OR($A113="",4&gt;Paramètres!$B$9),"",F23-F68)</f>
        <v/>
      </c>
      <c r="G113" s="26" t="str">
        <f>IF(OR($A113="",5&gt;Paramètres!$B$9),"",G23-G68)</f>
        <v/>
      </c>
      <c r="H113" s="26" t="str">
        <f>IF(OR($A113="",6&gt;Paramètres!$B$9),"",H23-H68)</f>
        <v/>
      </c>
      <c r="I113" s="26" t="str">
        <f>IF(OR($A113="",7&gt;Paramètres!$B$9),"",I23-I68)</f>
        <v/>
      </c>
      <c r="J113" s="26" t="str">
        <f>IF(OR($A113="",8&gt;Paramètres!$B$9),"",J23-J68)</f>
        <v/>
      </c>
      <c r="K113" s="26" t="str">
        <f>IF(OR($A113="",9&gt;Paramètres!$B$9),"",K23-K68)</f>
        <v/>
      </c>
      <c r="L113" s="26" t="str">
        <f>IF(OR($A113="",10&gt;Paramètres!$B$9),"",L23-L68)</f>
        <v/>
      </c>
      <c r="M113" s="26" t="str">
        <f>IF(OR($A113="",11&gt;Paramètres!$B$9),"",M23-M68)</f>
        <v/>
      </c>
      <c r="N113" s="26" t="str">
        <f>IF(OR($A113="",12&gt;Paramètres!$B$9),"",N23-N68)</f>
        <v/>
      </c>
      <c r="O113" s="26" t="str">
        <f>IF(OR($A113="",13&gt;Paramètres!$B$9),"",O23-O68)</f>
        <v/>
      </c>
    </row>
    <row r="114" ht="28" customHeight="1">
      <c r="A114" s="25" t="str">
        <f>IF(Personnes!A24="","",Personnes!A24)</f>
        <v/>
      </c>
      <c r="B114" s="25" t="str">
        <f>IF(A114="","",Personnes!B24)</f>
        <v/>
      </c>
      <c r="C114" s="24" t="str">
        <f>IF(OR($A114="",1&gt;Paramètres!$B$9),"",C24-C69)</f>
        <v/>
      </c>
      <c r="D114" s="24" t="str">
        <f>IF(OR($A114="",2&gt;Paramètres!$B$9),"",D24-D69)</f>
        <v/>
      </c>
      <c r="E114" s="24" t="str">
        <f>IF(OR($A114="",3&gt;Paramètres!$B$9),"",E24-E69)</f>
        <v/>
      </c>
      <c r="F114" s="24" t="str">
        <f>IF(OR($A114="",4&gt;Paramètres!$B$9),"",F24-F69)</f>
        <v/>
      </c>
      <c r="G114" s="24" t="str">
        <f>IF(OR($A114="",5&gt;Paramètres!$B$9),"",G24-G69)</f>
        <v/>
      </c>
      <c r="H114" s="24" t="str">
        <f>IF(OR($A114="",6&gt;Paramètres!$B$9),"",H24-H69)</f>
        <v/>
      </c>
      <c r="I114" s="24" t="str">
        <f>IF(OR($A114="",7&gt;Paramètres!$B$9),"",I24-I69)</f>
        <v/>
      </c>
      <c r="J114" s="24" t="str">
        <f>IF(OR($A114="",8&gt;Paramètres!$B$9),"",J24-J69)</f>
        <v/>
      </c>
      <c r="K114" s="24" t="str">
        <f>IF(OR($A114="",9&gt;Paramètres!$B$9),"",K24-K69)</f>
        <v/>
      </c>
      <c r="L114" s="24" t="str">
        <f>IF(OR($A114="",10&gt;Paramètres!$B$9),"",L24-L69)</f>
        <v/>
      </c>
      <c r="M114" s="24" t="str">
        <f>IF(OR($A114="",11&gt;Paramètres!$B$9),"",M24-M69)</f>
        <v/>
      </c>
      <c r="N114" s="24" t="str">
        <f>IF(OR($A114="",12&gt;Paramètres!$B$9),"",N24-N69)</f>
        <v/>
      </c>
      <c r="O114" s="24" t="str">
        <f>IF(OR($A114="",13&gt;Paramètres!$B$9),"",O24-O69)</f>
        <v/>
      </c>
    </row>
    <row r="115" ht="28" customHeight="1">
      <c r="A115" s="27" t="str">
        <f>IF(Personnes!A25="","",Personnes!A25)</f>
        <v/>
      </c>
      <c r="B115" s="27" t="str">
        <f>IF(A115="","",Personnes!B25)</f>
        <v/>
      </c>
      <c r="C115" s="26" t="str">
        <f>IF(OR($A115="",1&gt;Paramètres!$B$9),"",C25-C70)</f>
        <v/>
      </c>
      <c r="D115" s="26" t="str">
        <f>IF(OR($A115="",2&gt;Paramètres!$B$9),"",D25-D70)</f>
        <v/>
      </c>
      <c r="E115" s="26" t="str">
        <f>IF(OR($A115="",3&gt;Paramètres!$B$9),"",E25-E70)</f>
        <v/>
      </c>
      <c r="F115" s="26" t="str">
        <f>IF(OR($A115="",4&gt;Paramètres!$B$9),"",F25-F70)</f>
        <v/>
      </c>
      <c r="G115" s="26" t="str">
        <f>IF(OR($A115="",5&gt;Paramètres!$B$9),"",G25-G70)</f>
        <v/>
      </c>
      <c r="H115" s="26" t="str">
        <f>IF(OR($A115="",6&gt;Paramètres!$B$9),"",H25-H70)</f>
        <v/>
      </c>
      <c r="I115" s="26" t="str">
        <f>IF(OR($A115="",7&gt;Paramètres!$B$9),"",I25-I70)</f>
        <v/>
      </c>
      <c r="J115" s="26" t="str">
        <f>IF(OR($A115="",8&gt;Paramètres!$B$9),"",J25-J70)</f>
        <v/>
      </c>
      <c r="K115" s="26" t="str">
        <f>IF(OR($A115="",9&gt;Paramètres!$B$9),"",K25-K70)</f>
        <v/>
      </c>
      <c r="L115" s="26" t="str">
        <f>IF(OR($A115="",10&gt;Paramètres!$B$9),"",L25-L70)</f>
        <v/>
      </c>
      <c r="M115" s="26" t="str">
        <f>IF(OR($A115="",11&gt;Paramètres!$B$9),"",M25-M70)</f>
        <v/>
      </c>
      <c r="N115" s="26" t="str">
        <f>IF(OR($A115="",12&gt;Paramètres!$B$9),"",N25-N70)</f>
        <v/>
      </c>
      <c r="O115" s="26" t="str">
        <f>IF(OR($A115="",13&gt;Paramètres!$B$9),"",O25-O70)</f>
        <v/>
      </c>
    </row>
    <row r="116" ht="28" customHeight="1">
      <c r="A116" s="25" t="str">
        <f>IF(Personnes!A26="","",Personnes!A26)</f>
        <v/>
      </c>
      <c r="B116" s="25" t="str">
        <f>IF(A116="","",Personnes!B26)</f>
        <v/>
      </c>
      <c r="C116" s="24" t="str">
        <f>IF(OR($A116="",1&gt;Paramètres!$B$9),"",C26-C71)</f>
        <v/>
      </c>
      <c r="D116" s="24" t="str">
        <f>IF(OR($A116="",2&gt;Paramètres!$B$9),"",D26-D71)</f>
        <v/>
      </c>
      <c r="E116" s="24" t="str">
        <f>IF(OR($A116="",3&gt;Paramètres!$B$9),"",E26-E71)</f>
        <v/>
      </c>
      <c r="F116" s="24" t="str">
        <f>IF(OR($A116="",4&gt;Paramètres!$B$9),"",F26-F71)</f>
        <v/>
      </c>
      <c r="G116" s="24" t="str">
        <f>IF(OR($A116="",5&gt;Paramètres!$B$9),"",G26-G71)</f>
        <v/>
      </c>
      <c r="H116" s="24" t="str">
        <f>IF(OR($A116="",6&gt;Paramètres!$B$9),"",H26-H71)</f>
        <v/>
      </c>
      <c r="I116" s="24" t="str">
        <f>IF(OR($A116="",7&gt;Paramètres!$B$9),"",I26-I71)</f>
        <v/>
      </c>
      <c r="J116" s="24" t="str">
        <f>IF(OR($A116="",8&gt;Paramètres!$B$9),"",J26-J71)</f>
        <v/>
      </c>
      <c r="K116" s="24" t="str">
        <f>IF(OR($A116="",9&gt;Paramètres!$B$9),"",K26-K71)</f>
        <v/>
      </c>
      <c r="L116" s="24" t="str">
        <f>IF(OR($A116="",10&gt;Paramètres!$B$9),"",L26-L71)</f>
        <v/>
      </c>
      <c r="M116" s="24" t="str">
        <f>IF(OR($A116="",11&gt;Paramètres!$B$9),"",M26-M71)</f>
        <v/>
      </c>
      <c r="N116" s="24" t="str">
        <f>IF(OR($A116="",12&gt;Paramètres!$B$9),"",N26-N71)</f>
        <v/>
      </c>
      <c r="O116" s="24" t="str">
        <f>IF(OR($A116="",13&gt;Paramètres!$B$9),"",O26-O71)</f>
        <v/>
      </c>
    </row>
    <row r="117" ht="28" customHeight="1">
      <c r="A117" s="27" t="str">
        <f>IF(Personnes!A27="","",Personnes!A27)</f>
        <v/>
      </c>
      <c r="B117" s="27" t="str">
        <f>IF(A117="","",Personnes!B27)</f>
        <v/>
      </c>
      <c r="C117" s="26" t="str">
        <f>IF(OR($A117="",1&gt;Paramètres!$B$9),"",C27-C72)</f>
        <v/>
      </c>
      <c r="D117" s="26" t="str">
        <f>IF(OR($A117="",2&gt;Paramètres!$B$9),"",D27-D72)</f>
        <v/>
      </c>
      <c r="E117" s="26" t="str">
        <f>IF(OR($A117="",3&gt;Paramètres!$B$9),"",E27-E72)</f>
        <v/>
      </c>
      <c r="F117" s="26" t="str">
        <f>IF(OR($A117="",4&gt;Paramètres!$B$9),"",F27-F72)</f>
        <v/>
      </c>
      <c r="G117" s="26" t="str">
        <f>IF(OR($A117="",5&gt;Paramètres!$B$9),"",G27-G72)</f>
        <v/>
      </c>
      <c r="H117" s="26" t="str">
        <f>IF(OR($A117="",6&gt;Paramètres!$B$9),"",H27-H72)</f>
        <v/>
      </c>
      <c r="I117" s="26" t="str">
        <f>IF(OR($A117="",7&gt;Paramètres!$B$9),"",I27-I72)</f>
        <v/>
      </c>
      <c r="J117" s="26" t="str">
        <f>IF(OR($A117="",8&gt;Paramètres!$B$9),"",J27-J72)</f>
        <v/>
      </c>
      <c r="K117" s="26" t="str">
        <f>IF(OR($A117="",9&gt;Paramètres!$B$9),"",K27-K72)</f>
        <v/>
      </c>
      <c r="L117" s="26" t="str">
        <f>IF(OR($A117="",10&gt;Paramètres!$B$9),"",L27-L72)</f>
        <v/>
      </c>
      <c r="M117" s="26" t="str">
        <f>IF(OR($A117="",11&gt;Paramètres!$B$9),"",M27-M72)</f>
        <v/>
      </c>
      <c r="N117" s="26" t="str">
        <f>IF(OR($A117="",12&gt;Paramètres!$B$9),"",N27-N72)</f>
        <v/>
      </c>
      <c r="O117" s="26" t="str">
        <f>IF(OR($A117="",13&gt;Paramètres!$B$9),"",O27-O72)</f>
        <v/>
      </c>
    </row>
    <row r="118" ht="28" customHeight="1">
      <c r="A118" s="25" t="str">
        <f>IF(Personnes!A28="","",Personnes!A28)</f>
        <v/>
      </c>
      <c r="B118" s="25" t="str">
        <f>IF(A118="","",Personnes!B28)</f>
        <v/>
      </c>
      <c r="C118" s="24" t="str">
        <f>IF(OR($A118="",1&gt;Paramètres!$B$9),"",C28-C73)</f>
        <v/>
      </c>
      <c r="D118" s="24" t="str">
        <f>IF(OR($A118="",2&gt;Paramètres!$B$9),"",D28-D73)</f>
        <v/>
      </c>
      <c r="E118" s="24" t="str">
        <f>IF(OR($A118="",3&gt;Paramètres!$B$9),"",E28-E73)</f>
        <v/>
      </c>
      <c r="F118" s="24" t="str">
        <f>IF(OR($A118="",4&gt;Paramètres!$B$9),"",F28-F73)</f>
        <v/>
      </c>
      <c r="G118" s="24" t="str">
        <f>IF(OR($A118="",5&gt;Paramètres!$B$9),"",G28-G73)</f>
        <v/>
      </c>
      <c r="H118" s="24" t="str">
        <f>IF(OR($A118="",6&gt;Paramètres!$B$9),"",H28-H73)</f>
        <v/>
      </c>
      <c r="I118" s="24" t="str">
        <f>IF(OR($A118="",7&gt;Paramètres!$B$9),"",I28-I73)</f>
        <v/>
      </c>
      <c r="J118" s="24" t="str">
        <f>IF(OR($A118="",8&gt;Paramètres!$B$9),"",J28-J73)</f>
        <v/>
      </c>
      <c r="K118" s="24" t="str">
        <f>IF(OR($A118="",9&gt;Paramètres!$B$9),"",K28-K73)</f>
        <v/>
      </c>
      <c r="L118" s="24" t="str">
        <f>IF(OR($A118="",10&gt;Paramètres!$B$9),"",L28-L73)</f>
        <v/>
      </c>
      <c r="M118" s="24" t="str">
        <f>IF(OR($A118="",11&gt;Paramètres!$B$9),"",M28-M73)</f>
        <v/>
      </c>
      <c r="N118" s="24" t="str">
        <f>IF(OR($A118="",12&gt;Paramètres!$B$9),"",N28-N73)</f>
        <v/>
      </c>
      <c r="O118" s="24" t="str">
        <f>IF(OR($A118="",13&gt;Paramètres!$B$9),"",O28-O73)</f>
        <v/>
      </c>
    </row>
    <row r="119" ht="28" customHeight="1">
      <c r="A119" s="27" t="str">
        <f>IF(Personnes!A29="","",Personnes!A29)</f>
        <v/>
      </c>
      <c r="B119" s="27" t="str">
        <f>IF(A119="","",Personnes!B29)</f>
        <v/>
      </c>
      <c r="C119" s="26" t="str">
        <f>IF(OR($A119="",1&gt;Paramètres!$B$9),"",C29-C74)</f>
        <v/>
      </c>
      <c r="D119" s="26" t="str">
        <f>IF(OR($A119="",2&gt;Paramètres!$B$9),"",D29-D74)</f>
        <v/>
      </c>
      <c r="E119" s="26" t="str">
        <f>IF(OR($A119="",3&gt;Paramètres!$B$9),"",E29-E74)</f>
        <v/>
      </c>
      <c r="F119" s="26" t="str">
        <f>IF(OR($A119="",4&gt;Paramètres!$B$9),"",F29-F74)</f>
        <v/>
      </c>
      <c r="G119" s="26" t="str">
        <f>IF(OR($A119="",5&gt;Paramètres!$B$9),"",G29-G74)</f>
        <v/>
      </c>
      <c r="H119" s="26" t="str">
        <f>IF(OR($A119="",6&gt;Paramètres!$B$9),"",H29-H74)</f>
        <v/>
      </c>
      <c r="I119" s="26" t="str">
        <f>IF(OR($A119="",7&gt;Paramètres!$B$9),"",I29-I74)</f>
        <v/>
      </c>
      <c r="J119" s="26" t="str">
        <f>IF(OR($A119="",8&gt;Paramètres!$B$9),"",J29-J74)</f>
        <v/>
      </c>
      <c r="K119" s="26" t="str">
        <f>IF(OR($A119="",9&gt;Paramètres!$B$9),"",K29-K74)</f>
        <v/>
      </c>
      <c r="L119" s="26" t="str">
        <f>IF(OR($A119="",10&gt;Paramètres!$B$9),"",L29-L74)</f>
        <v/>
      </c>
      <c r="M119" s="26" t="str">
        <f>IF(OR($A119="",11&gt;Paramètres!$B$9),"",M29-M74)</f>
        <v/>
      </c>
      <c r="N119" s="26" t="str">
        <f>IF(OR($A119="",12&gt;Paramètres!$B$9),"",N29-N74)</f>
        <v/>
      </c>
      <c r="O119" s="26" t="str">
        <f>IF(OR($A119="",13&gt;Paramètres!$B$9),"",O29-O74)</f>
        <v/>
      </c>
    </row>
    <row r="120" ht="28" customHeight="1">
      <c r="A120" s="25" t="str">
        <f>IF(Personnes!A30="","",Personnes!A30)</f>
        <v/>
      </c>
      <c r="B120" s="25" t="str">
        <f>IF(A120="","",Personnes!B30)</f>
        <v/>
      </c>
      <c r="C120" s="24" t="str">
        <f>IF(OR($A120="",1&gt;Paramètres!$B$9),"",C30-C75)</f>
        <v/>
      </c>
      <c r="D120" s="24" t="str">
        <f>IF(OR($A120="",2&gt;Paramètres!$B$9),"",D30-D75)</f>
        <v/>
      </c>
      <c r="E120" s="24" t="str">
        <f>IF(OR($A120="",3&gt;Paramètres!$B$9),"",E30-E75)</f>
        <v/>
      </c>
      <c r="F120" s="24" t="str">
        <f>IF(OR($A120="",4&gt;Paramètres!$B$9),"",F30-F75)</f>
        <v/>
      </c>
      <c r="G120" s="24" t="str">
        <f>IF(OR($A120="",5&gt;Paramètres!$B$9),"",G30-G75)</f>
        <v/>
      </c>
      <c r="H120" s="24" t="str">
        <f>IF(OR($A120="",6&gt;Paramètres!$B$9),"",H30-H75)</f>
        <v/>
      </c>
      <c r="I120" s="24" t="str">
        <f>IF(OR($A120="",7&gt;Paramètres!$B$9),"",I30-I75)</f>
        <v/>
      </c>
      <c r="J120" s="24" t="str">
        <f>IF(OR($A120="",8&gt;Paramètres!$B$9),"",J30-J75)</f>
        <v/>
      </c>
      <c r="K120" s="24" t="str">
        <f>IF(OR($A120="",9&gt;Paramètres!$B$9),"",K30-K75)</f>
        <v/>
      </c>
      <c r="L120" s="24" t="str">
        <f>IF(OR($A120="",10&gt;Paramètres!$B$9),"",L30-L75)</f>
        <v/>
      </c>
      <c r="M120" s="24" t="str">
        <f>IF(OR($A120="",11&gt;Paramètres!$B$9),"",M30-M75)</f>
        <v/>
      </c>
      <c r="N120" s="24" t="str">
        <f>IF(OR($A120="",12&gt;Paramètres!$B$9),"",N30-N75)</f>
        <v/>
      </c>
      <c r="O120" s="24" t="str">
        <f>IF(OR($A120="",13&gt;Paramètres!$B$9),"",O30-O75)</f>
        <v/>
      </c>
    </row>
    <row r="121" ht="28" customHeight="1">
      <c r="A121" s="27" t="str">
        <f>IF(Personnes!A31="","",Personnes!A31)</f>
        <v/>
      </c>
      <c r="B121" s="27" t="str">
        <f>IF(A121="","",Personnes!B31)</f>
        <v/>
      </c>
      <c r="C121" s="26" t="str">
        <f>IF(OR($A121="",1&gt;Paramètres!$B$9),"",C31-C76)</f>
        <v/>
      </c>
      <c r="D121" s="26" t="str">
        <f>IF(OR($A121="",2&gt;Paramètres!$B$9),"",D31-D76)</f>
        <v/>
      </c>
      <c r="E121" s="26" t="str">
        <f>IF(OR($A121="",3&gt;Paramètres!$B$9),"",E31-E76)</f>
        <v/>
      </c>
      <c r="F121" s="26" t="str">
        <f>IF(OR($A121="",4&gt;Paramètres!$B$9),"",F31-F76)</f>
        <v/>
      </c>
      <c r="G121" s="26" t="str">
        <f>IF(OR($A121="",5&gt;Paramètres!$B$9),"",G31-G76)</f>
        <v/>
      </c>
      <c r="H121" s="26" t="str">
        <f>IF(OR($A121="",6&gt;Paramètres!$B$9),"",H31-H76)</f>
        <v/>
      </c>
      <c r="I121" s="26" t="str">
        <f>IF(OR($A121="",7&gt;Paramètres!$B$9),"",I31-I76)</f>
        <v/>
      </c>
      <c r="J121" s="26" t="str">
        <f>IF(OR($A121="",8&gt;Paramètres!$B$9),"",J31-J76)</f>
        <v/>
      </c>
      <c r="K121" s="26" t="str">
        <f>IF(OR($A121="",9&gt;Paramètres!$B$9),"",K31-K76)</f>
        <v/>
      </c>
      <c r="L121" s="26" t="str">
        <f>IF(OR($A121="",10&gt;Paramètres!$B$9),"",L31-L76)</f>
        <v/>
      </c>
      <c r="M121" s="26" t="str">
        <f>IF(OR($A121="",11&gt;Paramètres!$B$9),"",M31-M76)</f>
        <v/>
      </c>
      <c r="N121" s="26" t="str">
        <f>IF(OR($A121="",12&gt;Paramètres!$B$9),"",N31-N76)</f>
        <v/>
      </c>
      <c r="O121" s="26" t="str">
        <f>IF(OR($A121="",13&gt;Paramètres!$B$9),"",O31-O76)</f>
        <v/>
      </c>
    </row>
    <row r="122" ht="28" customHeight="1">
      <c r="A122" s="25" t="str">
        <f>IF(Personnes!A32="","",Personnes!A32)</f>
        <v/>
      </c>
      <c r="B122" s="25" t="str">
        <f>IF(A122="","",Personnes!B32)</f>
        <v/>
      </c>
      <c r="C122" s="24" t="str">
        <f>IF(OR($A122="",1&gt;Paramètres!$B$9),"",C32-C77)</f>
        <v/>
      </c>
      <c r="D122" s="24" t="str">
        <f>IF(OR($A122="",2&gt;Paramètres!$B$9),"",D32-D77)</f>
        <v/>
      </c>
      <c r="E122" s="24" t="str">
        <f>IF(OR($A122="",3&gt;Paramètres!$B$9),"",E32-E77)</f>
        <v/>
      </c>
      <c r="F122" s="24" t="str">
        <f>IF(OR($A122="",4&gt;Paramètres!$B$9),"",F32-F77)</f>
        <v/>
      </c>
      <c r="G122" s="24" t="str">
        <f>IF(OR($A122="",5&gt;Paramètres!$B$9),"",G32-G77)</f>
        <v/>
      </c>
      <c r="H122" s="24" t="str">
        <f>IF(OR($A122="",6&gt;Paramètres!$B$9),"",H32-H77)</f>
        <v/>
      </c>
      <c r="I122" s="24" t="str">
        <f>IF(OR($A122="",7&gt;Paramètres!$B$9),"",I32-I77)</f>
        <v/>
      </c>
      <c r="J122" s="24" t="str">
        <f>IF(OR($A122="",8&gt;Paramètres!$B$9),"",J32-J77)</f>
        <v/>
      </c>
      <c r="K122" s="24" t="str">
        <f>IF(OR($A122="",9&gt;Paramètres!$B$9),"",K32-K77)</f>
        <v/>
      </c>
      <c r="L122" s="24" t="str">
        <f>IF(OR($A122="",10&gt;Paramètres!$B$9),"",L32-L77)</f>
        <v/>
      </c>
      <c r="M122" s="24" t="str">
        <f>IF(OR($A122="",11&gt;Paramètres!$B$9),"",M32-M77)</f>
        <v/>
      </c>
      <c r="N122" s="24" t="str">
        <f>IF(OR($A122="",12&gt;Paramètres!$B$9),"",N32-N77)</f>
        <v/>
      </c>
      <c r="O122" s="24" t="str">
        <f>IF(OR($A122="",13&gt;Paramètres!$B$9),"",O32-O77)</f>
        <v/>
      </c>
    </row>
    <row r="123" ht="28" customHeight="1">
      <c r="A123" s="27" t="str">
        <f>IF(Personnes!A33="","",Personnes!A33)</f>
        <v/>
      </c>
      <c r="B123" s="27" t="str">
        <f>IF(A123="","",Personnes!B33)</f>
        <v/>
      </c>
      <c r="C123" s="26" t="str">
        <f>IF(OR($A123="",1&gt;Paramètres!$B$9),"",C33-C78)</f>
        <v/>
      </c>
      <c r="D123" s="26" t="str">
        <f>IF(OR($A123="",2&gt;Paramètres!$B$9),"",D33-D78)</f>
        <v/>
      </c>
      <c r="E123" s="26" t="str">
        <f>IF(OR($A123="",3&gt;Paramètres!$B$9),"",E33-E78)</f>
        <v/>
      </c>
      <c r="F123" s="26" t="str">
        <f>IF(OR($A123="",4&gt;Paramètres!$B$9),"",F33-F78)</f>
        <v/>
      </c>
      <c r="G123" s="26" t="str">
        <f>IF(OR($A123="",5&gt;Paramètres!$B$9),"",G33-G78)</f>
        <v/>
      </c>
      <c r="H123" s="26" t="str">
        <f>IF(OR($A123="",6&gt;Paramètres!$B$9),"",H33-H78)</f>
        <v/>
      </c>
      <c r="I123" s="26" t="str">
        <f>IF(OR($A123="",7&gt;Paramètres!$B$9),"",I33-I78)</f>
        <v/>
      </c>
      <c r="J123" s="26" t="str">
        <f>IF(OR($A123="",8&gt;Paramètres!$B$9),"",J33-J78)</f>
        <v/>
      </c>
      <c r="K123" s="26" t="str">
        <f>IF(OR($A123="",9&gt;Paramètres!$B$9),"",K33-K78)</f>
        <v/>
      </c>
      <c r="L123" s="26" t="str">
        <f>IF(OR($A123="",10&gt;Paramètres!$B$9),"",L33-L78)</f>
        <v/>
      </c>
      <c r="M123" s="26" t="str">
        <f>IF(OR($A123="",11&gt;Paramètres!$B$9),"",M33-M78)</f>
        <v/>
      </c>
      <c r="N123" s="26" t="str">
        <f>IF(OR($A123="",12&gt;Paramètres!$B$9),"",N33-N78)</f>
        <v/>
      </c>
      <c r="O123" s="26" t="str">
        <f>IF(OR($A123="",13&gt;Paramètres!$B$9),"",O33-O78)</f>
        <v/>
      </c>
    </row>
    <row r="124" ht="28" customHeight="1">
      <c r="A124" s="25" t="str">
        <f>IF(Personnes!A34="","",Personnes!A34)</f>
        <v/>
      </c>
      <c r="B124" s="25" t="str">
        <f>IF(A124="","",Personnes!B34)</f>
        <v/>
      </c>
      <c r="C124" s="24" t="str">
        <f>IF(OR($A124="",1&gt;Paramètres!$B$9),"",C34-C79)</f>
        <v/>
      </c>
      <c r="D124" s="24" t="str">
        <f>IF(OR($A124="",2&gt;Paramètres!$B$9),"",D34-D79)</f>
        <v/>
      </c>
      <c r="E124" s="24" t="str">
        <f>IF(OR($A124="",3&gt;Paramètres!$B$9),"",E34-E79)</f>
        <v/>
      </c>
      <c r="F124" s="24" t="str">
        <f>IF(OR($A124="",4&gt;Paramètres!$B$9),"",F34-F79)</f>
        <v/>
      </c>
      <c r="G124" s="24" t="str">
        <f>IF(OR($A124="",5&gt;Paramètres!$B$9),"",G34-G79)</f>
        <v/>
      </c>
      <c r="H124" s="24" t="str">
        <f>IF(OR($A124="",6&gt;Paramètres!$B$9),"",H34-H79)</f>
        <v/>
      </c>
      <c r="I124" s="24" t="str">
        <f>IF(OR($A124="",7&gt;Paramètres!$B$9),"",I34-I79)</f>
        <v/>
      </c>
      <c r="J124" s="24" t="str">
        <f>IF(OR($A124="",8&gt;Paramètres!$B$9),"",J34-J79)</f>
        <v/>
      </c>
      <c r="K124" s="24" t="str">
        <f>IF(OR($A124="",9&gt;Paramètres!$B$9),"",K34-K79)</f>
        <v/>
      </c>
      <c r="L124" s="24" t="str">
        <f>IF(OR($A124="",10&gt;Paramètres!$B$9),"",L34-L79)</f>
        <v/>
      </c>
      <c r="M124" s="24" t="str">
        <f>IF(OR($A124="",11&gt;Paramètres!$B$9),"",M34-M79)</f>
        <v/>
      </c>
      <c r="N124" s="24" t="str">
        <f>IF(OR($A124="",12&gt;Paramètres!$B$9),"",N34-N79)</f>
        <v/>
      </c>
      <c r="O124" s="24" t="str">
        <f>IF(OR($A124="",13&gt;Paramètres!$B$9),"",O34-O79)</f>
        <v/>
      </c>
    </row>
    <row r="125" ht="28" customHeight="1">
      <c r="A125" s="27" t="str">
        <f>IF(Personnes!A35="","",Personnes!A35)</f>
        <v/>
      </c>
      <c r="B125" s="27" t="str">
        <f>IF(A125="","",Personnes!B35)</f>
        <v/>
      </c>
      <c r="C125" s="26" t="str">
        <f>IF(OR($A125="",1&gt;Paramètres!$B$9),"",C35-C80)</f>
        <v/>
      </c>
      <c r="D125" s="26" t="str">
        <f>IF(OR($A125="",2&gt;Paramètres!$B$9),"",D35-D80)</f>
        <v/>
      </c>
      <c r="E125" s="26" t="str">
        <f>IF(OR($A125="",3&gt;Paramètres!$B$9),"",E35-E80)</f>
        <v/>
      </c>
      <c r="F125" s="26" t="str">
        <f>IF(OR($A125="",4&gt;Paramètres!$B$9),"",F35-F80)</f>
        <v/>
      </c>
      <c r="G125" s="26" t="str">
        <f>IF(OR($A125="",5&gt;Paramètres!$B$9),"",G35-G80)</f>
        <v/>
      </c>
      <c r="H125" s="26" t="str">
        <f>IF(OR($A125="",6&gt;Paramètres!$B$9),"",H35-H80)</f>
        <v/>
      </c>
      <c r="I125" s="26" t="str">
        <f>IF(OR($A125="",7&gt;Paramètres!$B$9),"",I35-I80)</f>
        <v/>
      </c>
      <c r="J125" s="26" t="str">
        <f>IF(OR($A125="",8&gt;Paramètres!$B$9),"",J35-J80)</f>
        <v/>
      </c>
      <c r="K125" s="26" t="str">
        <f>IF(OR($A125="",9&gt;Paramètres!$B$9),"",K35-K80)</f>
        <v/>
      </c>
      <c r="L125" s="26" t="str">
        <f>IF(OR($A125="",10&gt;Paramètres!$B$9),"",L35-L80)</f>
        <v/>
      </c>
      <c r="M125" s="26" t="str">
        <f>IF(OR($A125="",11&gt;Paramètres!$B$9),"",M35-M80)</f>
        <v/>
      </c>
      <c r="N125" s="26" t="str">
        <f>IF(OR($A125="",12&gt;Paramètres!$B$9),"",N35-N80)</f>
        <v/>
      </c>
      <c r="O125" s="26" t="str">
        <f>IF(OR($A125="",13&gt;Paramètres!$B$9),"",O35-O80)</f>
        <v/>
      </c>
    </row>
    <row r="126" ht="28" customHeight="1">
      <c r="A126" s="25" t="str">
        <f>IF(Personnes!A36="","",Personnes!A36)</f>
        <v/>
      </c>
      <c r="B126" s="25" t="str">
        <f>IF(A126="","",Personnes!B36)</f>
        <v/>
      </c>
      <c r="C126" s="24" t="str">
        <f>IF(OR($A126="",1&gt;Paramètres!$B$9),"",C36-C81)</f>
        <v/>
      </c>
      <c r="D126" s="24" t="str">
        <f>IF(OR($A126="",2&gt;Paramètres!$B$9),"",D36-D81)</f>
        <v/>
      </c>
      <c r="E126" s="24" t="str">
        <f>IF(OR($A126="",3&gt;Paramètres!$B$9),"",E36-E81)</f>
        <v/>
      </c>
      <c r="F126" s="24" t="str">
        <f>IF(OR($A126="",4&gt;Paramètres!$B$9),"",F36-F81)</f>
        <v/>
      </c>
      <c r="G126" s="24" t="str">
        <f>IF(OR($A126="",5&gt;Paramètres!$B$9),"",G36-G81)</f>
        <v/>
      </c>
      <c r="H126" s="24" t="str">
        <f>IF(OR($A126="",6&gt;Paramètres!$B$9),"",H36-H81)</f>
        <v/>
      </c>
      <c r="I126" s="24" t="str">
        <f>IF(OR($A126="",7&gt;Paramètres!$B$9),"",I36-I81)</f>
        <v/>
      </c>
      <c r="J126" s="24" t="str">
        <f>IF(OR($A126="",8&gt;Paramètres!$B$9),"",J36-J81)</f>
        <v/>
      </c>
      <c r="K126" s="24" t="str">
        <f>IF(OR($A126="",9&gt;Paramètres!$B$9),"",K36-K81)</f>
        <v/>
      </c>
      <c r="L126" s="24" t="str">
        <f>IF(OR($A126="",10&gt;Paramètres!$B$9),"",L36-L81)</f>
        <v/>
      </c>
      <c r="M126" s="24" t="str">
        <f>IF(OR($A126="",11&gt;Paramètres!$B$9),"",M36-M81)</f>
        <v/>
      </c>
      <c r="N126" s="24" t="str">
        <f>IF(OR($A126="",12&gt;Paramètres!$B$9),"",N36-N81)</f>
        <v/>
      </c>
      <c r="O126" s="24" t="str">
        <f>IF(OR($A126="",13&gt;Paramètres!$B$9),"",O36-O81)</f>
        <v/>
      </c>
    </row>
    <row r="127" ht="28" customHeight="1">
      <c r="A127" s="27" t="str">
        <f>IF(Personnes!A37="","",Personnes!A37)</f>
        <v/>
      </c>
      <c r="B127" s="27" t="str">
        <f>IF(A127="","",Personnes!B37)</f>
        <v/>
      </c>
      <c r="C127" s="26" t="str">
        <f>IF(OR($A127="",1&gt;Paramètres!$B$9),"",C37-C82)</f>
        <v/>
      </c>
      <c r="D127" s="26" t="str">
        <f>IF(OR($A127="",2&gt;Paramètres!$B$9),"",D37-D82)</f>
        <v/>
      </c>
      <c r="E127" s="26" t="str">
        <f>IF(OR($A127="",3&gt;Paramètres!$B$9),"",E37-E82)</f>
        <v/>
      </c>
      <c r="F127" s="26" t="str">
        <f>IF(OR($A127="",4&gt;Paramètres!$B$9),"",F37-F82)</f>
        <v/>
      </c>
      <c r="G127" s="26" t="str">
        <f>IF(OR($A127="",5&gt;Paramètres!$B$9),"",G37-G82)</f>
        <v/>
      </c>
      <c r="H127" s="26" t="str">
        <f>IF(OR($A127="",6&gt;Paramètres!$B$9),"",H37-H82)</f>
        <v/>
      </c>
      <c r="I127" s="26" t="str">
        <f>IF(OR($A127="",7&gt;Paramètres!$B$9),"",I37-I82)</f>
        <v/>
      </c>
      <c r="J127" s="26" t="str">
        <f>IF(OR($A127="",8&gt;Paramètres!$B$9),"",J37-J82)</f>
        <v/>
      </c>
      <c r="K127" s="26" t="str">
        <f>IF(OR($A127="",9&gt;Paramètres!$B$9),"",K37-K82)</f>
        <v/>
      </c>
      <c r="L127" s="26" t="str">
        <f>IF(OR($A127="",10&gt;Paramètres!$B$9),"",L37-L82)</f>
        <v/>
      </c>
      <c r="M127" s="26" t="str">
        <f>IF(OR($A127="",11&gt;Paramètres!$B$9),"",M37-M82)</f>
        <v/>
      </c>
      <c r="N127" s="26" t="str">
        <f>IF(OR($A127="",12&gt;Paramètres!$B$9),"",N37-N82)</f>
        <v/>
      </c>
      <c r="O127" s="26" t="str">
        <f>IF(OR($A127="",13&gt;Paramètres!$B$9),"",O37-O82)</f>
        <v/>
      </c>
    </row>
    <row r="128" ht="28" customHeight="1">
      <c r="A128" s="25" t="str">
        <f>IF(Personnes!A38="","",Personnes!A38)</f>
        <v/>
      </c>
      <c r="B128" s="25" t="str">
        <f>IF(A128="","",Personnes!B38)</f>
        <v/>
      </c>
      <c r="C128" s="24" t="str">
        <f>IF(OR($A128="",1&gt;Paramètres!$B$9),"",C38-C83)</f>
        <v/>
      </c>
      <c r="D128" s="24" t="str">
        <f>IF(OR($A128="",2&gt;Paramètres!$B$9),"",D38-D83)</f>
        <v/>
      </c>
      <c r="E128" s="24" t="str">
        <f>IF(OR($A128="",3&gt;Paramètres!$B$9),"",E38-E83)</f>
        <v/>
      </c>
      <c r="F128" s="24" t="str">
        <f>IF(OR($A128="",4&gt;Paramètres!$B$9),"",F38-F83)</f>
        <v/>
      </c>
      <c r="G128" s="24" t="str">
        <f>IF(OR($A128="",5&gt;Paramètres!$B$9),"",G38-G83)</f>
        <v/>
      </c>
      <c r="H128" s="24" t="str">
        <f>IF(OR($A128="",6&gt;Paramètres!$B$9),"",H38-H83)</f>
        <v/>
      </c>
      <c r="I128" s="24" t="str">
        <f>IF(OR($A128="",7&gt;Paramètres!$B$9),"",I38-I83)</f>
        <v/>
      </c>
      <c r="J128" s="24" t="str">
        <f>IF(OR($A128="",8&gt;Paramètres!$B$9),"",J38-J83)</f>
        <v/>
      </c>
      <c r="K128" s="24" t="str">
        <f>IF(OR($A128="",9&gt;Paramètres!$B$9),"",K38-K83)</f>
        <v/>
      </c>
      <c r="L128" s="24" t="str">
        <f>IF(OR($A128="",10&gt;Paramètres!$B$9),"",L38-L83)</f>
        <v/>
      </c>
      <c r="M128" s="24" t="str">
        <f>IF(OR($A128="",11&gt;Paramètres!$B$9),"",M38-M83)</f>
        <v/>
      </c>
      <c r="N128" s="24" t="str">
        <f>IF(OR($A128="",12&gt;Paramètres!$B$9),"",N38-N83)</f>
        <v/>
      </c>
      <c r="O128" s="24" t="str">
        <f>IF(OR($A128="",13&gt;Paramètres!$B$9),"",O38-O83)</f>
        <v/>
      </c>
    </row>
    <row r="129" ht="28" customHeight="1">
      <c r="A129" s="27" t="str">
        <f>IF(Personnes!A39="","",Personnes!A39)</f>
        <v/>
      </c>
      <c r="B129" s="27" t="str">
        <f>IF(A129="","",Personnes!B39)</f>
        <v/>
      </c>
      <c r="C129" s="26" t="str">
        <f>IF(OR($A129="",1&gt;Paramètres!$B$9),"",C39-C84)</f>
        <v/>
      </c>
      <c r="D129" s="26" t="str">
        <f>IF(OR($A129="",2&gt;Paramètres!$B$9),"",D39-D84)</f>
        <v/>
      </c>
      <c r="E129" s="26" t="str">
        <f>IF(OR($A129="",3&gt;Paramètres!$B$9),"",E39-E84)</f>
        <v/>
      </c>
      <c r="F129" s="26" t="str">
        <f>IF(OR($A129="",4&gt;Paramètres!$B$9),"",F39-F84)</f>
        <v/>
      </c>
      <c r="G129" s="26" t="str">
        <f>IF(OR($A129="",5&gt;Paramètres!$B$9),"",G39-G84)</f>
        <v/>
      </c>
      <c r="H129" s="26" t="str">
        <f>IF(OR($A129="",6&gt;Paramètres!$B$9),"",H39-H84)</f>
        <v/>
      </c>
      <c r="I129" s="26" t="str">
        <f>IF(OR($A129="",7&gt;Paramètres!$B$9),"",I39-I84)</f>
        <v/>
      </c>
      <c r="J129" s="26" t="str">
        <f>IF(OR($A129="",8&gt;Paramètres!$B$9),"",J39-J84)</f>
        <v/>
      </c>
      <c r="K129" s="26" t="str">
        <f>IF(OR($A129="",9&gt;Paramètres!$B$9),"",K39-K84)</f>
        <v/>
      </c>
      <c r="L129" s="26" t="str">
        <f>IF(OR($A129="",10&gt;Paramètres!$B$9),"",L39-L84)</f>
        <v/>
      </c>
      <c r="M129" s="26" t="str">
        <f>IF(OR($A129="",11&gt;Paramètres!$B$9),"",M39-M84)</f>
        <v/>
      </c>
      <c r="N129" s="26" t="str">
        <f>IF(OR($A129="",12&gt;Paramètres!$B$9),"",N39-N84)</f>
        <v/>
      </c>
      <c r="O129" s="26" t="str">
        <f>IF(OR($A129="",13&gt;Paramètres!$B$9),"",O39-O84)</f>
        <v/>
      </c>
    </row>
    <row r="130" ht="28" customHeight="1">
      <c r="A130" s="25" t="str">
        <f>IF(Personnes!A40="","",Personnes!A40)</f>
        <v/>
      </c>
      <c r="B130" s="25" t="str">
        <f>IF(A130="","",Personnes!B40)</f>
        <v/>
      </c>
      <c r="C130" s="24" t="str">
        <f>IF(OR($A130="",1&gt;Paramètres!$B$9),"",C40-C85)</f>
        <v/>
      </c>
      <c r="D130" s="24" t="str">
        <f>IF(OR($A130="",2&gt;Paramètres!$B$9),"",D40-D85)</f>
        <v/>
      </c>
      <c r="E130" s="24" t="str">
        <f>IF(OR($A130="",3&gt;Paramètres!$B$9),"",E40-E85)</f>
        <v/>
      </c>
      <c r="F130" s="24" t="str">
        <f>IF(OR($A130="",4&gt;Paramètres!$B$9),"",F40-F85)</f>
        <v/>
      </c>
      <c r="G130" s="24" t="str">
        <f>IF(OR($A130="",5&gt;Paramètres!$B$9),"",G40-G85)</f>
        <v/>
      </c>
      <c r="H130" s="24" t="str">
        <f>IF(OR($A130="",6&gt;Paramètres!$B$9),"",H40-H85)</f>
        <v/>
      </c>
      <c r="I130" s="24" t="str">
        <f>IF(OR($A130="",7&gt;Paramètres!$B$9),"",I40-I85)</f>
        <v/>
      </c>
      <c r="J130" s="24" t="str">
        <f>IF(OR($A130="",8&gt;Paramètres!$B$9),"",J40-J85)</f>
        <v/>
      </c>
      <c r="K130" s="24" t="str">
        <f>IF(OR($A130="",9&gt;Paramètres!$B$9),"",K40-K85)</f>
        <v/>
      </c>
      <c r="L130" s="24" t="str">
        <f>IF(OR($A130="",10&gt;Paramètres!$B$9),"",L40-L85)</f>
        <v/>
      </c>
      <c r="M130" s="24" t="str">
        <f>IF(OR($A130="",11&gt;Paramètres!$B$9),"",M40-M85)</f>
        <v/>
      </c>
      <c r="N130" s="24" t="str">
        <f>IF(OR($A130="",12&gt;Paramètres!$B$9),"",N40-N85)</f>
        <v/>
      </c>
      <c r="O130" s="24" t="str">
        <f>IF(OR($A130="",13&gt;Paramètres!$B$9),"",O40-O85)</f>
        <v/>
      </c>
    </row>
    <row r="131" ht="28" customHeight="1">
      <c r="A131" s="27" t="str">
        <f>IF(Personnes!A41="","",Personnes!A41)</f>
        <v/>
      </c>
      <c r="B131" s="27" t="str">
        <f>IF(A131="","",Personnes!B41)</f>
        <v/>
      </c>
      <c r="C131" s="26" t="str">
        <f>IF(OR($A131="",1&gt;Paramètres!$B$9),"",C41-C86)</f>
        <v/>
      </c>
      <c r="D131" s="26" t="str">
        <f>IF(OR($A131="",2&gt;Paramètres!$B$9),"",D41-D86)</f>
        <v/>
      </c>
      <c r="E131" s="26" t="str">
        <f>IF(OR($A131="",3&gt;Paramètres!$B$9),"",E41-E86)</f>
        <v/>
      </c>
      <c r="F131" s="26" t="str">
        <f>IF(OR($A131="",4&gt;Paramètres!$B$9),"",F41-F86)</f>
        <v/>
      </c>
      <c r="G131" s="26" t="str">
        <f>IF(OR($A131="",5&gt;Paramètres!$B$9),"",G41-G86)</f>
        <v/>
      </c>
      <c r="H131" s="26" t="str">
        <f>IF(OR($A131="",6&gt;Paramètres!$B$9),"",H41-H86)</f>
        <v/>
      </c>
      <c r="I131" s="26" t="str">
        <f>IF(OR($A131="",7&gt;Paramètres!$B$9),"",I41-I86)</f>
        <v/>
      </c>
      <c r="J131" s="26" t="str">
        <f>IF(OR($A131="",8&gt;Paramètres!$B$9),"",J41-J86)</f>
        <v/>
      </c>
      <c r="K131" s="26" t="str">
        <f>IF(OR($A131="",9&gt;Paramètres!$B$9),"",K41-K86)</f>
        <v/>
      </c>
      <c r="L131" s="26" t="str">
        <f>IF(OR($A131="",10&gt;Paramètres!$B$9),"",L41-L86)</f>
        <v/>
      </c>
      <c r="M131" s="26" t="str">
        <f>IF(OR($A131="",11&gt;Paramètres!$B$9),"",M41-M86)</f>
        <v/>
      </c>
      <c r="N131" s="26" t="str">
        <f>IF(OR($A131="",12&gt;Paramètres!$B$9),"",N41-N86)</f>
        <v/>
      </c>
      <c r="O131" s="26" t="str">
        <f>IF(OR($A131="",13&gt;Paramètres!$B$9),"",O41-O86)</f>
        <v/>
      </c>
    </row>
    <row r="132" ht="28" customHeight="1">
      <c r="A132" s="25" t="str">
        <f>IF(Personnes!A42="","",Personnes!A42)</f>
        <v/>
      </c>
      <c r="B132" s="25" t="str">
        <f>IF(A132="","",Personnes!B42)</f>
        <v/>
      </c>
      <c r="C132" s="24" t="str">
        <f>IF(OR($A132="",1&gt;Paramètres!$B$9),"",C42-C87)</f>
        <v/>
      </c>
      <c r="D132" s="24" t="str">
        <f>IF(OR($A132="",2&gt;Paramètres!$B$9),"",D42-D87)</f>
        <v/>
      </c>
      <c r="E132" s="24" t="str">
        <f>IF(OR($A132="",3&gt;Paramètres!$B$9),"",E42-E87)</f>
        <v/>
      </c>
      <c r="F132" s="24" t="str">
        <f>IF(OR($A132="",4&gt;Paramètres!$B$9),"",F42-F87)</f>
        <v/>
      </c>
      <c r="G132" s="24" t="str">
        <f>IF(OR($A132="",5&gt;Paramètres!$B$9),"",G42-G87)</f>
        <v/>
      </c>
      <c r="H132" s="24" t="str">
        <f>IF(OR($A132="",6&gt;Paramètres!$B$9),"",H42-H87)</f>
        <v/>
      </c>
      <c r="I132" s="24" t="str">
        <f>IF(OR($A132="",7&gt;Paramètres!$B$9),"",I42-I87)</f>
        <v/>
      </c>
      <c r="J132" s="24" t="str">
        <f>IF(OR($A132="",8&gt;Paramètres!$B$9),"",J42-J87)</f>
        <v/>
      </c>
      <c r="K132" s="24" t="str">
        <f>IF(OR($A132="",9&gt;Paramètres!$B$9),"",K42-K87)</f>
        <v/>
      </c>
      <c r="L132" s="24" t="str">
        <f>IF(OR($A132="",10&gt;Paramètres!$B$9),"",L42-L87)</f>
        <v/>
      </c>
      <c r="M132" s="24" t="str">
        <f>IF(OR($A132="",11&gt;Paramètres!$B$9),"",M42-M87)</f>
        <v/>
      </c>
      <c r="N132" s="24" t="str">
        <f>IF(OR($A132="",12&gt;Paramètres!$B$9),"",N42-N87)</f>
        <v/>
      </c>
      <c r="O132" s="24" t="str">
        <f>IF(OR($A132="",13&gt;Paramètres!$B$9),"",O42-O87)</f>
        <v/>
      </c>
    </row>
    <row r="133" ht="28" customHeight="1">
      <c r="A133" s="27" t="str">
        <f>IF(Personnes!A43="","",Personnes!A43)</f>
        <v/>
      </c>
      <c r="B133" s="27" t="str">
        <f>IF(A133="","",Personnes!B43)</f>
        <v/>
      </c>
      <c r="C133" s="26" t="str">
        <f>IF(OR($A133="",1&gt;Paramètres!$B$9),"",C43-C88)</f>
        <v/>
      </c>
      <c r="D133" s="26" t="str">
        <f>IF(OR($A133="",2&gt;Paramètres!$B$9),"",D43-D88)</f>
        <v/>
      </c>
      <c r="E133" s="26" t="str">
        <f>IF(OR($A133="",3&gt;Paramètres!$B$9),"",E43-E88)</f>
        <v/>
      </c>
      <c r="F133" s="26" t="str">
        <f>IF(OR($A133="",4&gt;Paramètres!$B$9),"",F43-F88)</f>
        <v/>
      </c>
      <c r="G133" s="26" t="str">
        <f>IF(OR($A133="",5&gt;Paramètres!$B$9),"",G43-G88)</f>
        <v/>
      </c>
      <c r="H133" s="26" t="str">
        <f>IF(OR($A133="",6&gt;Paramètres!$B$9),"",H43-H88)</f>
        <v/>
      </c>
      <c r="I133" s="26" t="str">
        <f>IF(OR($A133="",7&gt;Paramètres!$B$9),"",I43-I88)</f>
        <v/>
      </c>
      <c r="J133" s="26" t="str">
        <f>IF(OR($A133="",8&gt;Paramètres!$B$9),"",J43-J88)</f>
        <v/>
      </c>
      <c r="K133" s="26" t="str">
        <f>IF(OR($A133="",9&gt;Paramètres!$B$9),"",K43-K88)</f>
        <v/>
      </c>
      <c r="L133" s="26" t="str">
        <f>IF(OR($A133="",10&gt;Paramètres!$B$9),"",L43-L88)</f>
        <v/>
      </c>
      <c r="M133" s="26" t="str">
        <f>IF(OR($A133="",11&gt;Paramètres!$B$9),"",M43-M88)</f>
        <v/>
      </c>
      <c r="N133" s="26" t="str">
        <f>IF(OR($A133="",12&gt;Paramètres!$B$9),"",N43-N88)</f>
        <v/>
      </c>
      <c r="O133" s="26" t="str">
        <f>IF(OR($A133="",13&gt;Paramètres!$B$9),"",O43-O88)</f>
        <v/>
      </c>
    </row>
    <row r="134" ht="28" customHeight="1">
      <c r="A134" s="25" t="str">
        <f>IF(Personnes!A44="","",Personnes!A44)</f>
        <v/>
      </c>
      <c r="B134" s="25" t="str">
        <f>IF(A134="","",Personnes!B44)</f>
        <v/>
      </c>
      <c r="C134" s="24" t="str">
        <f>IF(OR($A134="",1&gt;Paramètres!$B$9),"",C44-C89)</f>
        <v/>
      </c>
      <c r="D134" s="24" t="str">
        <f>IF(OR($A134="",2&gt;Paramètres!$B$9),"",D44-D89)</f>
        <v/>
      </c>
      <c r="E134" s="24" t="str">
        <f>IF(OR($A134="",3&gt;Paramètres!$B$9),"",E44-E89)</f>
        <v/>
      </c>
      <c r="F134" s="24" t="str">
        <f>IF(OR($A134="",4&gt;Paramètres!$B$9),"",F44-F89)</f>
        <v/>
      </c>
      <c r="G134" s="24" t="str">
        <f>IF(OR($A134="",5&gt;Paramètres!$B$9),"",G44-G89)</f>
        <v/>
      </c>
      <c r="H134" s="24" t="str">
        <f>IF(OR($A134="",6&gt;Paramètres!$B$9),"",H44-H89)</f>
        <v/>
      </c>
      <c r="I134" s="24" t="str">
        <f>IF(OR($A134="",7&gt;Paramètres!$B$9),"",I44-I89)</f>
        <v/>
      </c>
      <c r="J134" s="24" t="str">
        <f>IF(OR($A134="",8&gt;Paramètres!$B$9),"",J44-J89)</f>
        <v/>
      </c>
      <c r="K134" s="24" t="str">
        <f>IF(OR($A134="",9&gt;Paramètres!$B$9),"",K44-K89)</f>
        <v/>
      </c>
      <c r="L134" s="24" t="str">
        <f>IF(OR($A134="",10&gt;Paramètres!$B$9),"",L44-L89)</f>
        <v/>
      </c>
      <c r="M134" s="24" t="str">
        <f>IF(OR($A134="",11&gt;Paramètres!$B$9),"",M44-M89)</f>
        <v/>
      </c>
      <c r="N134" s="24" t="str">
        <f>IF(OR($A134="",12&gt;Paramètres!$B$9),"",N44-N89)</f>
        <v/>
      </c>
      <c r="O134" s="24" t="str">
        <f>IF(OR($A134="",13&gt;Paramètres!$B$9),"",O44-O89)</f>
        <v/>
      </c>
    </row>
    <row r="135" ht="28" customHeight="1">
      <c r="A135" s="27" t="str">
        <f>IF(Personnes!A45="","",Personnes!A45)</f>
        <v/>
      </c>
      <c r="B135" s="27" t="str">
        <f>IF(A135="","",Personnes!B45)</f>
        <v/>
      </c>
      <c r="C135" s="26" t="str">
        <f>IF(OR($A135="",1&gt;Paramètres!$B$9),"",C45-C90)</f>
        <v/>
      </c>
      <c r="D135" s="26" t="str">
        <f>IF(OR($A135="",2&gt;Paramètres!$B$9),"",D45-D90)</f>
        <v/>
      </c>
      <c r="E135" s="26" t="str">
        <f>IF(OR($A135="",3&gt;Paramètres!$B$9),"",E45-E90)</f>
        <v/>
      </c>
      <c r="F135" s="26" t="str">
        <f>IF(OR($A135="",4&gt;Paramètres!$B$9),"",F45-F90)</f>
        <v/>
      </c>
      <c r="G135" s="26" t="str">
        <f>IF(OR($A135="",5&gt;Paramètres!$B$9),"",G45-G90)</f>
        <v/>
      </c>
      <c r="H135" s="26" t="str">
        <f>IF(OR($A135="",6&gt;Paramètres!$B$9),"",H45-H90)</f>
        <v/>
      </c>
      <c r="I135" s="26" t="str">
        <f>IF(OR($A135="",7&gt;Paramètres!$B$9),"",I45-I90)</f>
        <v/>
      </c>
      <c r="J135" s="26" t="str">
        <f>IF(OR($A135="",8&gt;Paramètres!$B$9),"",J45-J90)</f>
        <v/>
      </c>
      <c r="K135" s="26" t="str">
        <f>IF(OR($A135="",9&gt;Paramètres!$B$9),"",K45-K90)</f>
        <v/>
      </c>
      <c r="L135" s="26" t="str">
        <f>IF(OR($A135="",10&gt;Paramètres!$B$9),"",L45-L90)</f>
        <v/>
      </c>
      <c r="M135" s="26" t="str">
        <f>IF(OR($A135="",11&gt;Paramètres!$B$9),"",M45-M90)</f>
        <v/>
      </c>
      <c r="N135" s="26" t="str">
        <f>IF(OR($A135="",12&gt;Paramètres!$B$9),"",N45-N90)</f>
        <v/>
      </c>
      <c r="O135" s="26" t="str">
        <f>IF(OR($A135="",13&gt;Paramètres!$B$9),"",O45-O90)</f>
        <v/>
      </c>
    </row>
    <row r="136" ht="28" customHeight="1">
      <c r="A136" s="25" t="str">
        <f>IF(Personnes!A46="","",Personnes!A46)</f>
        <v/>
      </c>
      <c r="B136" s="25" t="str">
        <f>IF(A136="","",Personnes!B46)</f>
        <v/>
      </c>
      <c r="C136" s="24" t="str">
        <f>IF(OR($A136="",1&gt;Paramètres!$B$9),"",C46-C91)</f>
        <v/>
      </c>
      <c r="D136" s="24" t="str">
        <f>IF(OR($A136="",2&gt;Paramètres!$B$9),"",D46-D91)</f>
        <v/>
      </c>
      <c r="E136" s="24" t="str">
        <f>IF(OR($A136="",3&gt;Paramètres!$B$9),"",E46-E91)</f>
        <v/>
      </c>
      <c r="F136" s="24" t="str">
        <f>IF(OR($A136="",4&gt;Paramètres!$B$9),"",F46-F91)</f>
        <v/>
      </c>
      <c r="G136" s="24" t="str">
        <f>IF(OR($A136="",5&gt;Paramètres!$B$9),"",G46-G91)</f>
        <v/>
      </c>
      <c r="H136" s="24" t="str">
        <f>IF(OR($A136="",6&gt;Paramètres!$B$9),"",H46-H91)</f>
        <v/>
      </c>
      <c r="I136" s="24" t="str">
        <f>IF(OR($A136="",7&gt;Paramètres!$B$9),"",I46-I91)</f>
        <v/>
      </c>
      <c r="J136" s="24" t="str">
        <f>IF(OR($A136="",8&gt;Paramètres!$B$9),"",J46-J91)</f>
        <v/>
      </c>
      <c r="K136" s="24" t="str">
        <f>IF(OR($A136="",9&gt;Paramètres!$B$9),"",K46-K91)</f>
        <v/>
      </c>
      <c r="L136" s="24" t="str">
        <f>IF(OR($A136="",10&gt;Paramètres!$B$9),"",L46-L91)</f>
        <v/>
      </c>
      <c r="M136" s="24" t="str">
        <f>IF(OR($A136="",11&gt;Paramètres!$B$9),"",M46-M91)</f>
        <v/>
      </c>
      <c r="N136" s="24" t="str">
        <f>IF(OR($A136="",12&gt;Paramètres!$B$9),"",N46-N91)</f>
        <v/>
      </c>
      <c r="O136" s="24" t="str">
        <f>IF(OR($A136="",13&gt;Paramètres!$B$9),"",O46-O91)</f>
        <v/>
      </c>
    </row>
    <row r="137" ht="28" customHeight="1">
      <c r="A137" s="27" t="str">
        <f>IF(Personnes!A47="","",Personnes!A47)</f>
        <v/>
      </c>
      <c r="B137" s="27" t="str">
        <f>IF(A137="","",Personnes!B47)</f>
        <v/>
      </c>
      <c r="C137" s="26" t="str">
        <f>IF(OR($A137="",1&gt;Paramètres!$B$9),"",C47-C92)</f>
        <v/>
      </c>
      <c r="D137" s="26" t="str">
        <f>IF(OR($A137="",2&gt;Paramètres!$B$9),"",D47-D92)</f>
        <v/>
      </c>
      <c r="E137" s="26" t="str">
        <f>IF(OR($A137="",3&gt;Paramètres!$B$9),"",E47-E92)</f>
        <v/>
      </c>
      <c r="F137" s="26" t="str">
        <f>IF(OR($A137="",4&gt;Paramètres!$B$9),"",F47-F92)</f>
        <v/>
      </c>
      <c r="G137" s="26" t="str">
        <f>IF(OR($A137="",5&gt;Paramètres!$B$9),"",G47-G92)</f>
        <v/>
      </c>
      <c r="H137" s="26" t="str">
        <f>IF(OR($A137="",6&gt;Paramètres!$B$9),"",H47-H92)</f>
        <v/>
      </c>
      <c r="I137" s="26" t="str">
        <f>IF(OR($A137="",7&gt;Paramètres!$B$9),"",I47-I92)</f>
        <v/>
      </c>
      <c r="J137" s="26" t="str">
        <f>IF(OR($A137="",8&gt;Paramètres!$B$9),"",J47-J92)</f>
        <v/>
      </c>
      <c r="K137" s="26" t="str">
        <f>IF(OR($A137="",9&gt;Paramètres!$B$9),"",K47-K92)</f>
        <v/>
      </c>
      <c r="L137" s="26" t="str">
        <f>IF(OR($A137="",10&gt;Paramètres!$B$9),"",L47-L92)</f>
        <v/>
      </c>
      <c r="M137" s="26" t="str">
        <f>IF(OR($A137="",11&gt;Paramètres!$B$9),"",M47-M92)</f>
        <v/>
      </c>
      <c r="N137" s="26" t="str">
        <f>IF(OR($A137="",12&gt;Paramètres!$B$9),"",N47-N92)</f>
        <v/>
      </c>
      <c r="O137" s="26" t="str">
        <f>IF(OR($A137="",13&gt;Paramètres!$B$9),"",O47-O92)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1:O2"/>
    <mergeCell ref="A4:O5"/>
  </mergeCells>
  <conditionalFormatting sqref="C98:O137">
    <cfRule type="cellIs" priority="1" operator="lessThan" dxfId="1">
      <formula>0</formula>
    </cfRule>
  </conditionalFormatting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3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tabColor rgb="004353E8"/>
    <outlinePr summaryBelow="1" summaryRight="0"/>
    <pageSetUpPr fitToPage="1"/>
  </sheetPr>
  <dimension ref="A1:L32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07 / Comparer les engagements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Disponible = capacité des personnes. Déficit = somme des dépassements personne × semaine : une marge ailleurs ne compense pas un goulot.</t>
        </is>
      </c>
    </row>
    <row r="5" ht="20" customHeight="1"/>
    <row r="7" ht="36" customHeight="1">
      <c r="A7" s="23" t="inlineStr">
        <is>
          <t>Équipe</t>
        </is>
      </c>
      <c r="B7" s="23" t="inlineStr">
        <is>
          <t>Capacité (j)</t>
        </is>
      </c>
      <c r="C7" s="23" t="inlineStr">
        <is>
          <t>Tout accepter</t>
        </is>
      </c>
      <c r="D7" s="23" t="inlineStr">
        <is>
          <t>Charge A</t>
        </is>
      </c>
      <c r="E7" s="23" t="inlineStr">
        <is>
          <t>Charge B</t>
        </is>
      </c>
      <c r="F7" s="23" t="inlineStr">
        <is>
          <t>Marge A</t>
        </is>
      </c>
      <c r="G7" s="23" t="inlineStr">
        <is>
          <t>Marge B</t>
        </is>
      </c>
      <c r="H7" s="23" t="inlineStr">
        <is>
          <t>Déficit Tous</t>
        </is>
      </c>
      <c r="I7" s="23" t="inlineStr">
        <is>
          <t>Déficit A</t>
        </is>
      </c>
      <c r="J7" s="23" t="inlineStr">
        <is>
          <t>Déficit B</t>
        </is>
      </c>
    </row>
    <row r="8" ht="28" customHeight="1">
      <c r="A8" s="25" t="str">
        <f>IF(Paramètres!F8="","",Paramètres!F8)</f>
        <v/>
      </c>
      <c r="B8" s="24" t="str">
        <f>IF(A8="","",SUM('Plan de charge (équipe)'!C8:O8))</f>
        <v/>
      </c>
      <c r="C8" s="24" t="str">
        <f>IF(A8="","",SUMIF(Calculs!$C$8:$C$247,$A8,Calculs!$R$8:$R$247))</f>
        <v/>
      </c>
      <c r="D8" s="24" t="str">
        <f>IF(A8="","",SUMPRODUCT((Calculs!$C$8:$C$247=$A8)*Calculs!$R$8:$R$247*Calculs!$V$8:$V$247))</f>
        <v/>
      </c>
      <c r="E8" s="24" t="str">
        <f>IF(A8="","",SUMPRODUCT((Calculs!$C$8:$C$247=$A8)*Calculs!$R$8:$R$247*Calculs!$W$8:$W$247))</f>
        <v/>
      </c>
      <c r="F8" s="24" t="str">
        <f>IF(A8="","",B8-D8)</f>
        <v/>
      </c>
      <c r="G8" s="24" t="str">
        <f>IF(A8="","",B8-E8)</f>
        <v/>
      </c>
      <c r="H8" s="24" t="str">
        <f>IF(A8="","",SUMIF(Personnes!$C$8:$C$47,A8,Calculs!$DJ$8:$DJ$47))</f>
        <v/>
      </c>
      <c r="I8" s="24" t="str">
        <f>IF(A8="","",SUMIF(Personnes!$C$8:$C$47,A8,Calculs!$DK$8:$DK$47))</f>
        <v/>
      </c>
      <c r="J8" s="24" t="str">
        <f>IF(A8="","",SUMIF(Personnes!$C$8:$C$47,A8,Calculs!$DL$8:$DL$47))</f>
        <v/>
      </c>
    </row>
    <row r="9" ht="28" customHeight="1">
      <c r="A9" s="27" t="str">
        <f>IF(Paramètres!F9="","",Paramètres!F9)</f>
        <v/>
      </c>
      <c r="B9" s="26" t="str">
        <f>IF(A9="","",SUM('Plan de charge (équipe)'!C9:O9))</f>
        <v/>
      </c>
      <c r="C9" s="26" t="str">
        <f>IF(A9="","",SUMIF(Calculs!$C$8:$C$247,$A9,Calculs!$R$8:$R$247))</f>
        <v/>
      </c>
      <c r="D9" s="26" t="str">
        <f>IF(A9="","",SUMPRODUCT((Calculs!$C$8:$C$247=$A9)*Calculs!$R$8:$R$247*Calculs!$V$8:$V$247))</f>
        <v/>
      </c>
      <c r="E9" s="26" t="str">
        <f>IF(A9="","",SUMPRODUCT((Calculs!$C$8:$C$247=$A9)*Calculs!$R$8:$R$247*Calculs!$W$8:$W$247))</f>
        <v/>
      </c>
      <c r="F9" s="26" t="str">
        <f>IF(A9="","",B9-D9)</f>
        <v/>
      </c>
      <c r="G9" s="26" t="str">
        <f>IF(A9="","",B9-E9)</f>
        <v/>
      </c>
      <c r="H9" s="26" t="str">
        <f>IF(A9="","",SUMIF(Personnes!$C$8:$C$47,A9,Calculs!$DJ$8:$DJ$47))</f>
        <v/>
      </c>
      <c r="I9" s="26" t="str">
        <f>IF(A9="","",SUMIF(Personnes!$C$8:$C$47,A9,Calculs!$DK$8:$DK$47))</f>
        <v/>
      </c>
      <c r="J9" s="26" t="str">
        <f>IF(A9="","",SUMIF(Personnes!$C$8:$C$47,A9,Calculs!$DL$8:$DL$47))</f>
        <v/>
      </c>
    </row>
    <row r="10" ht="28" customHeight="1">
      <c r="A10" s="25" t="str">
        <f>IF(Paramètres!F10="","",Paramètres!F10)</f>
        <v/>
      </c>
      <c r="B10" s="24" t="str">
        <f>IF(A10="","",SUM('Plan de charge (équipe)'!C10:O10))</f>
        <v/>
      </c>
      <c r="C10" s="24" t="str">
        <f>IF(A10="","",SUMIF(Calculs!$C$8:$C$247,$A10,Calculs!$R$8:$R$247))</f>
        <v/>
      </c>
      <c r="D10" s="24" t="str">
        <f>IF(A10="","",SUMPRODUCT((Calculs!$C$8:$C$247=$A10)*Calculs!$R$8:$R$247*Calculs!$V$8:$V$247))</f>
        <v/>
      </c>
      <c r="E10" s="24" t="str">
        <f>IF(A10="","",SUMPRODUCT((Calculs!$C$8:$C$247=$A10)*Calculs!$R$8:$R$247*Calculs!$W$8:$W$247))</f>
        <v/>
      </c>
      <c r="F10" s="24" t="str">
        <f>IF(A10="","",B10-D10)</f>
        <v/>
      </c>
      <c r="G10" s="24" t="str">
        <f>IF(A10="","",B10-E10)</f>
        <v/>
      </c>
      <c r="H10" s="24" t="str">
        <f>IF(A10="","",SUMIF(Personnes!$C$8:$C$47,A10,Calculs!$DJ$8:$DJ$47))</f>
        <v/>
      </c>
      <c r="I10" s="24" t="str">
        <f>IF(A10="","",SUMIF(Personnes!$C$8:$C$47,A10,Calculs!$DK$8:$DK$47))</f>
        <v/>
      </c>
      <c r="J10" s="24" t="str">
        <f>IF(A10="","",SUMIF(Personnes!$C$8:$C$47,A10,Calculs!$DL$8:$DL$47))</f>
        <v/>
      </c>
    </row>
    <row r="11" ht="28" customHeight="1">
      <c r="A11" s="27" t="str">
        <f>IF(Paramètres!F11="","",Paramètres!F11)</f>
        <v/>
      </c>
      <c r="B11" s="26" t="str">
        <f>IF(A11="","",SUM('Plan de charge (équipe)'!C11:O11))</f>
        <v/>
      </c>
      <c r="C11" s="26" t="str">
        <f>IF(A11="","",SUMIF(Calculs!$C$8:$C$247,$A11,Calculs!$R$8:$R$247))</f>
        <v/>
      </c>
      <c r="D11" s="26" t="str">
        <f>IF(A11="","",SUMPRODUCT((Calculs!$C$8:$C$247=$A11)*Calculs!$R$8:$R$247*Calculs!$V$8:$V$247))</f>
        <v/>
      </c>
      <c r="E11" s="26" t="str">
        <f>IF(A11="","",SUMPRODUCT((Calculs!$C$8:$C$247=$A11)*Calculs!$R$8:$R$247*Calculs!$W$8:$W$247))</f>
        <v/>
      </c>
      <c r="F11" s="26" t="str">
        <f>IF(A11="","",B11-D11)</f>
        <v/>
      </c>
      <c r="G11" s="26" t="str">
        <f>IF(A11="","",B11-E11)</f>
        <v/>
      </c>
      <c r="H11" s="26" t="str">
        <f>IF(A11="","",SUMIF(Personnes!$C$8:$C$47,A11,Calculs!$DJ$8:$DJ$47))</f>
        <v/>
      </c>
      <c r="I11" s="26" t="str">
        <f>IF(A11="","",SUMIF(Personnes!$C$8:$C$47,A11,Calculs!$DK$8:$DK$47))</f>
        <v/>
      </c>
      <c r="J11" s="26" t="str">
        <f>IF(A11="","",SUMIF(Personnes!$C$8:$C$47,A11,Calculs!$DL$8:$DL$47))</f>
        <v/>
      </c>
    </row>
    <row r="12" ht="28" customHeight="1">
      <c r="A12" s="25" t="str">
        <f>IF(Paramètres!F12="","",Paramètres!F12)</f>
        <v/>
      </c>
      <c r="B12" s="24" t="str">
        <f>IF(A12="","",SUM('Plan de charge (équipe)'!C12:O12))</f>
        <v/>
      </c>
      <c r="C12" s="24" t="str">
        <f>IF(A12="","",SUMIF(Calculs!$C$8:$C$247,$A12,Calculs!$R$8:$R$247))</f>
        <v/>
      </c>
      <c r="D12" s="24" t="str">
        <f>IF(A12="","",SUMPRODUCT((Calculs!$C$8:$C$247=$A12)*Calculs!$R$8:$R$247*Calculs!$V$8:$V$247))</f>
        <v/>
      </c>
      <c r="E12" s="24" t="str">
        <f>IF(A12="","",SUMPRODUCT((Calculs!$C$8:$C$247=$A12)*Calculs!$R$8:$R$247*Calculs!$W$8:$W$247))</f>
        <v/>
      </c>
      <c r="F12" s="24" t="str">
        <f>IF(A12="","",B12-D12)</f>
        <v/>
      </c>
      <c r="G12" s="24" t="str">
        <f>IF(A12="","",B12-E12)</f>
        <v/>
      </c>
      <c r="H12" s="24" t="str">
        <f>IF(A12="","",SUMIF(Personnes!$C$8:$C$47,A12,Calculs!$DJ$8:$DJ$47))</f>
        <v/>
      </c>
      <c r="I12" s="24" t="str">
        <f>IF(A12="","",SUMIF(Personnes!$C$8:$C$47,A12,Calculs!$DK$8:$DK$47))</f>
        <v/>
      </c>
      <c r="J12" s="24" t="str">
        <f>IF(A12="","",SUMIF(Personnes!$C$8:$C$47,A12,Calculs!$DL$8:$DL$47))</f>
        <v/>
      </c>
    </row>
    <row r="13" ht="28" customHeight="1">
      <c r="A13" s="27" t="str">
        <f>IF(Paramètres!F13="","",Paramètres!F13)</f>
        <v/>
      </c>
      <c r="B13" s="26" t="str">
        <f>IF(A13="","",SUM('Plan de charge (équipe)'!C13:O13))</f>
        <v/>
      </c>
      <c r="C13" s="26" t="str">
        <f>IF(A13="","",SUMIF(Calculs!$C$8:$C$247,$A13,Calculs!$R$8:$R$247))</f>
        <v/>
      </c>
      <c r="D13" s="26" t="str">
        <f>IF(A13="","",SUMPRODUCT((Calculs!$C$8:$C$247=$A13)*Calculs!$R$8:$R$247*Calculs!$V$8:$V$247))</f>
        <v/>
      </c>
      <c r="E13" s="26" t="str">
        <f>IF(A13="","",SUMPRODUCT((Calculs!$C$8:$C$247=$A13)*Calculs!$R$8:$R$247*Calculs!$W$8:$W$247))</f>
        <v/>
      </c>
      <c r="F13" s="26" t="str">
        <f>IF(A13="","",B13-D13)</f>
        <v/>
      </c>
      <c r="G13" s="26" t="str">
        <f>IF(A13="","",B13-E13)</f>
        <v/>
      </c>
      <c r="H13" s="26" t="str">
        <f>IF(A13="","",SUMIF(Personnes!$C$8:$C$47,A13,Calculs!$DJ$8:$DJ$47))</f>
        <v/>
      </c>
      <c r="I13" s="26" t="str">
        <f>IF(A13="","",SUMIF(Personnes!$C$8:$C$47,A13,Calculs!$DK$8:$DK$47))</f>
        <v/>
      </c>
      <c r="J13" s="26" t="str">
        <f>IF(A13="","",SUMIF(Personnes!$C$8:$C$47,A13,Calculs!$DL$8:$DL$47))</f>
        <v/>
      </c>
    </row>
    <row r="14" ht="28" customHeight="1">
      <c r="A14" s="25" t="str">
        <f>IF(Paramètres!F14="","",Paramètres!F14)</f>
        <v/>
      </c>
      <c r="B14" s="24" t="str">
        <f>IF(A14="","",SUM('Plan de charge (équipe)'!C14:O14))</f>
        <v/>
      </c>
      <c r="C14" s="24" t="str">
        <f>IF(A14="","",SUMIF(Calculs!$C$8:$C$247,$A14,Calculs!$R$8:$R$247))</f>
        <v/>
      </c>
      <c r="D14" s="24" t="str">
        <f>IF(A14="","",SUMPRODUCT((Calculs!$C$8:$C$247=$A14)*Calculs!$R$8:$R$247*Calculs!$V$8:$V$247))</f>
        <v/>
      </c>
      <c r="E14" s="24" t="str">
        <f>IF(A14="","",SUMPRODUCT((Calculs!$C$8:$C$247=$A14)*Calculs!$R$8:$R$247*Calculs!$W$8:$W$247))</f>
        <v/>
      </c>
      <c r="F14" s="24" t="str">
        <f>IF(A14="","",B14-D14)</f>
        <v/>
      </c>
      <c r="G14" s="24" t="str">
        <f>IF(A14="","",B14-E14)</f>
        <v/>
      </c>
      <c r="H14" s="24" t="str">
        <f>IF(A14="","",SUMIF(Personnes!$C$8:$C$47,A14,Calculs!$DJ$8:$DJ$47))</f>
        <v/>
      </c>
      <c r="I14" s="24" t="str">
        <f>IF(A14="","",SUMIF(Personnes!$C$8:$C$47,A14,Calculs!$DK$8:$DK$47))</f>
        <v/>
      </c>
      <c r="J14" s="24" t="str">
        <f>IF(A14="","",SUMIF(Personnes!$C$8:$C$47,A14,Calculs!$DL$8:$DL$47))</f>
        <v/>
      </c>
    </row>
    <row r="15" ht="28" customHeight="1">
      <c r="A15" s="27" t="str">
        <f>IF(Paramètres!F15="","",Paramètres!F15)</f>
        <v/>
      </c>
      <c r="B15" s="26" t="str">
        <f>IF(A15="","",SUM('Plan de charge (équipe)'!C15:O15))</f>
        <v/>
      </c>
      <c r="C15" s="26" t="str">
        <f>IF(A15="","",SUMIF(Calculs!$C$8:$C$247,$A15,Calculs!$R$8:$R$247))</f>
        <v/>
      </c>
      <c r="D15" s="26" t="str">
        <f>IF(A15="","",SUMPRODUCT((Calculs!$C$8:$C$247=$A15)*Calculs!$R$8:$R$247*Calculs!$V$8:$V$247))</f>
        <v/>
      </c>
      <c r="E15" s="26" t="str">
        <f>IF(A15="","",SUMPRODUCT((Calculs!$C$8:$C$247=$A15)*Calculs!$R$8:$R$247*Calculs!$W$8:$W$247))</f>
        <v/>
      </c>
      <c r="F15" s="26" t="str">
        <f>IF(A15="","",B15-D15)</f>
        <v/>
      </c>
      <c r="G15" s="26" t="str">
        <f>IF(A15="","",B15-E15)</f>
        <v/>
      </c>
      <c r="H15" s="26" t="str">
        <f>IF(A15="","",SUMIF(Personnes!$C$8:$C$47,A15,Calculs!$DJ$8:$DJ$47))</f>
        <v/>
      </c>
      <c r="I15" s="26" t="str">
        <f>IF(A15="","",SUMIF(Personnes!$C$8:$C$47,A15,Calculs!$DK$8:$DK$47))</f>
        <v/>
      </c>
      <c r="J15" s="26" t="str">
        <f>IF(A15="","",SUMIF(Personnes!$C$8:$C$47,A15,Calculs!$DL$8:$DL$47))</f>
        <v/>
      </c>
    </row>
    <row r="16" ht="28" customHeight="1">
      <c r="A16" s="25" t="str">
        <f>IF(Paramètres!F16="","",Paramètres!F16)</f>
        <v/>
      </c>
      <c r="B16" s="24" t="str">
        <f>IF(A16="","",SUM('Plan de charge (équipe)'!C16:O16))</f>
        <v/>
      </c>
      <c r="C16" s="24" t="str">
        <f>IF(A16="","",SUMIF(Calculs!$C$8:$C$247,$A16,Calculs!$R$8:$R$247))</f>
        <v/>
      </c>
      <c r="D16" s="24" t="str">
        <f>IF(A16="","",SUMPRODUCT((Calculs!$C$8:$C$247=$A16)*Calculs!$R$8:$R$247*Calculs!$V$8:$V$247))</f>
        <v/>
      </c>
      <c r="E16" s="24" t="str">
        <f>IF(A16="","",SUMPRODUCT((Calculs!$C$8:$C$247=$A16)*Calculs!$R$8:$R$247*Calculs!$W$8:$W$247))</f>
        <v/>
      </c>
      <c r="F16" s="24" t="str">
        <f>IF(A16="","",B16-D16)</f>
        <v/>
      </c>
      <c r="G16" s="24" t="str">
        <f>IF(A16="","",B16-E16)</f>
        <v/>
      </c>
      <c r="H16" s="24" t="str">
        <f>IF(A16="","",SUMIF(Personnes!$C$8:$C$47,A16,Calculs!$DJ$8:$DJ$47))</f>
        <v/>
      </c>
      <c r="I16" s="24" t="str">
        <f>IF(A16="","",SUMIF(Personnes!$C$8:$C$47,A16,Calculs!$DK$8:$DK$47))</f>
        <v/>
      </c>
      <c r="J16" s="24" t="str">
        <f>IF(A16="","",SUMIF(Personnes!$C$8:$C$47,A16,Calculs!$DL$8:$DL$47))</f>
        <v/>
      </c>
    </row>
    <row r="17" ht="28" customHeight="1">
      <c r="A17" s="27" t="str">
        <f>IF(Paramètres!F17="","",Paramètres!F17)</f>
        <v/>
      </c>
      <c r="B17" s="26" t="str">
        <f>IF(A17="","",SUM('Plan de charge (équipe)'!C17:O17))</f>
        <v/>
      </c>
      <c r="C17" s="26" t="str">
        <f>IF(A17="","",SUMIF(Calculs!$C$8:$C$247,$A17,Calculs!$R$8:$R$247))</f>
        <v/>
      </c>
      <c r="D17" s="26" t="str">
        <f>IF(A17="","",SUMPRODUCT((Calculs!$C$8:$C$247=$A17)*Calculs!$R$8:$R$247*Calculs!$V$8:$V$247))</f>
        <v/>
      </c>
      <c r="E17" s="26" t="str">
        <f>IF(A17="","",SUMPRODUCT((Calculs!$C$8:$C$247=$A17)*Calculs!$R$8:$R$247*Calculs!$W$8:$W$247))</f>
        <v/>
      </c>
      <c r="F17" s="26" t="str">
        <f>IF(A17="","",B17-D17)</f>
        <v/>
      </c>
      <c r="G17" s="26" t="str">
        <f>IF(A17="","",B17-E17)</f>
        <v/>
      </c>
      <c r="H17" s="26" t="str">
        <f>IF(A17="","",SUMIF(Personnes!$C$8:$C$47,A17,Calculs!$DJ$8:$DJ$47))</f>
        <v/>
      </c>
      <c r="I17" s="26" t="str">
        <f>IF(A17="","",SUMIF(Personnes!$C$8:$C$47,A17,Calculs!$DK$8:$DK$47))</f>
        <v/>
      </c>
      <c r="J17" s="26" t="str">
        <f>IF(A17="","",SUMIF(Personnes!$C$8:$C$47,A17,Calculs!$DL$8:$DL$47))</f>
        <v/>
      </c>
    </row>
    <row r="18" ht="28" customHeight="1">
      <c r="A18" s="25" t="str">
        <f>IF(Paramètres!F18="","",Paramètres!F18)</f>
        <v/>
      </c>
      <c r="B18" s="24" t="str">
        <f>IF(A18="","",SUM('Plan de charge (équipe)'!C18:O18))</f>
        <v/>
      </c>
      <c r="C18" s="24" t="str">
        <f>IF(A18="","",SUMIF(Calculs!$C$8:$C$247,$A18,Calculs!$R$8:$R$247))</f>
        <v/>
      </c>
      <c r="D18" s="24" t="str">
        <f>IF(A18="","",SUMPRODUCT((Calculs!$C$8:$C$247=$A18)*Calculs!$R$8:$R$247*Calculs!$V$8:$V$247))</f>
        <v/>
      </c>
      <c r="E18" s="24" t="str">
        <f>IF(A18="","",SUMPRODUCT((Calculs!$C$8:$C$247=$A18)*Calculs!$R$8:$R$247*Calculs!$W$8:$W$247))</f>
        <v/>
      </c>
      <c r="F18" s="24" t="str">
        <f>IF(A18="","",B18-D18)</f>
        <v/>
      </c>
      <c r="G18" s="24" t="str">
        <f>IF(A18="","",B18-E18)</f>
        <v/>
      </c>
      <c r="H18" s="24" t="str">
        <f>IF(A18="","",SUMIF(Personnes!$C$8:$C$47,A18,Calculs!$DJ$8:$DJ$47))</f>
        <v/>
      </c>
      <c r="I18" s="24" t="str">
        <f>IF(A18="","",SUMIF(Personnes!$C$8:$C$47,A18,Calculs!$DK$8:$DK$47))</f>
        <v/>
      </c>
      <c r="J18" s="24" t="str">
        <f>IF(A18="","",SUMIF(Personnes!$C$8:$C$47,A18,Calculs!$DL$8:$DL$47))</f>
        <v/>
      </c>
    </row>
    <row r="19" ht="28" customHeight="1">
      <c r="A19" s="27" t="str">
        <f>IF(Paramètres!F19="","",Paramètres!F19)</f>
        <v/>
      </c>
      <c r="B19" s="26" t="str">
        <f>IF(A19="","",SUM('Plan de charge (équipe)'!C19:O19))</f>
        <v/>
      </c>
      <c r="C19" s="26" t="str">
        <f>IF(A19="","",SUMIF(Calculs!$C$8:$C$247,$A19,Calculs!$R$8:$R$247))</f>
        <v/>
      </c>
      <c r="D19" s="26" t="str">
        <f>IF(A19="","",SUMPRODUCT((Calculs!$C$8:$C$247=$A19)*Calculs!$R$8:$R$247*Calculs!$V$8:$V$247))</f>
        <v/>
      </c>
      <c r="E19" s="26" t="str">
        <f>IF(A19="","",SUMPRODUCT((Calculs!$C$8:$C$247=$A19)*Calculs!$R$8:$R$247*Calculs!$W$8:$W$247))</f>
        <v/>
      </c>
      <c r="F19" s="26" t="str">
        <f>IF(A19="","",B19-D19)</f>
        <v/>
      </c>
      <c r="G19" s="26" t="str">
        <f>IF(A19="","",B19-E19)</f>
        <v/>
      </c>
      <c r="H19" s="26" t="str">
        <f>IF(A19="","",SUMIF(Personnes!$C$8:$C$47,A19,Calculs!$DJ$8:$DJ$47))</f>
        <v/>
      </c>
      <c r="I19" s="26" t="str">
        <f>IF(A19="","",SUMIF(Personnes!$C$8:$C$47,A19,Calculs!$DK$8:$DK$47))</f>
        <v/>
      </c>
      <c r="J19" s="26" t="str">
        <f>IF(A19="","",SUMIF(Personnes!$C$8:$C$47,A19,Calculs!$DL$8:$DL$47))</f>
        <v/>
      </c>
    </row>
    <row r="20" ht="28" customHeight="1">
      <c r="A20" s="25" t="str">
        <f>IF(Paramètres!F20="","",Paramètres!F20)</f>
        <v/>
      </c>
      <c r="B20" s="24" t="str">
        <f>IF(A20="","",SUM('Plan de charge (équipe)'!C20:O20))</f>
        <v/>
      </c>
      <c r="C20" s="24" t="str">
        <f>IF(A20="","",SUMIF(Calculs!$C$8:$C$247,$A20,Calculs!$R$8:$R$247))</f>
        <v/>
      </c>
      <c r="D20" s="24" t="str">
        <f>IF(A20="","",SUMPRODUCT((Calculs!$C$8:$C$247=$A20)*Calculs!$R$8:$R$247*Calculs!$V$8:$V$247))</f>
        <v/>
      </c>
      <c r="E20" s="24" t="str">
        <f>IF(A20="","",SUMPRODUCT((Calculs!$C$8:$C$247=$A20)*Calculs!$R$8:$R$247*Calculs!$W$8:$W$247))</f>
        <v/>
      </c>
      <c r="F20" s="24" t="str">
        <f>IF(A20="","",B20-D20)</f>
        <v/>
      </c>
      <c r="G20" s="24" t="str">
        <f>IF(A20="","",B20-E20)</f>
        <v/>
      </c>
      <c r="H20" s="24" t="str">
        <f>IF(A20="","",SUMIF(Personnes!$C$8:$C$47,A20,Calculs!$DJ$8:$DJ$47))</f>
        <v/>
      </c>
      <c r="I20" s="24" t="str">
        <f>IF(A20="","",SUMIF(Personnes!$C$8:$C$47,A20,Calculs!$DK$8:$DK$47))</f>
        <v/>
      </c>
      <c r="J20" s="24" t="str">
        <f>IF(A20="","",SUMIF(Personnes!$C$8:$C$47,A20,Calculs!$DL$8:$DL$47))</f>
        <v/>
      </c>
    </row>
    <row r="21" ht="28" customHeight="1">
      <c r="A21" s="27" t="str">
        <f>IF(Paramètres!F21="","",Paramètres!F21)</f>
        <v/>
      </c>
      <c r="B21" s="26" t="str">
        <f>IF(A21="","",SUM('Plan de charge (équipe)'!C21:O21))</f>
        <v/>
      </c>
      <c r="C21" s="26" t="str">
        <f>IF(A21="","",SUMIF(Calculs!$C$8:$C$247,$A21,Calculs!$R$8:$R$247))</f>
        <v/>
      </c>
      <c r="D21" s="26" t="str">
        <f>IF(A21="","",SUMPRODUCT((Calculs!$C$8:$C$247=$A21)*Calculs!$R$8:$R$247*Calculs!$V$8:$V$247))</f>
        <v/>
      </c>
      <c r="E21" s="26" t="str">
        <f>IF(A21="","",SUMPRODUCT((Calculs!$C$8:$C$247=$A21)*Calculs!$R$8:$R$247*Calculs!$W$8:$W$247))</f>
        <v/>
      </c>
      <c r="F21" s="26" t="str">
        <f>IF(A21="","",B21-D21)</f>
        <v/>
      </c>
      <c r="G21" s="26" t="str">
        <f>IF(A21="","",B21-E21)</f>
        <v/>
      </c>
      <c r="H21" s="26" t="str">
        <f>IF(A21="","",SUMIF(Personnes!$C$8:$C$47,A21,Calculs!$DJ$8:$DJ$47))</f>
        <v/>
      </c>
      <c r="I21" s="26" t="str">
        <f>IF(A21="","",SUMIF(Personnes!$C$8:$C$47,A21,Calculs!$DK$8:$DK$47))</f>
        <v/>
      </c>
      <c r="J21" s="26" t="str">
        <f>IF(A21="","",SUMIF(Personnes!$C$8:$C$47,A21,Calculs!$DL$8:$DL$47))</f>
        <v/>
      </c>
    </row>
    <row r="22" ht="28" customHeight="1">
      <c r="A22" s="25" t="str">
        <f>IF(Paramètres!F22="","",Paramètres!F22)</f>
        <v/>
      </c>
      <c r="B22" s="24" t="str">
        <f>IF(A22="","",SUM('Plan de charge (équipe)'!C22:O22))</f>
        <v/>
      </c>
      <c r="C22" s="24" t="str">
        <f>IF(A22="","",SUMIF(Calculs!$C$8:$C$247,$A22,Calculs!$R$8:$R$247))</f>
        <v/>
      </c>
      <c r="D22" s="24" t="str">
        <f>IF(A22="","",SUMPRODUCT((Calculs!$C$8:$C$247=$A22)*Calculs!$R$8:$R$247*Calculs!$V$8:$V$247))</f>
        <v/>
      </c>
      <c r="E22" s="24" t="str">
        <f>IF(A22="","",SUMPRODUCT((Calculs!$C$8:$C$247=$A22)*Calculs!$R$8:$R$247*Calculs!$W$8:$W$247))</f>
        <v/>
      </c>
      <c r="F22" s="24" t="str">
        <f>IF(A22="","",B22-D22)</f>
        <v/>
      </c>
      <c r="G22" s="24" t="str">
        <f>IF(A22="","",B22-E22)</f>
        <v/>
      </c>
      <c r="H22" s="24" t="str">
        <f>IF(A22="","",SUMIF(Personnes!$C$8:$C$47,A22,Calculs!$DJ$8:$DJ$47))</f>
        <v/>
      </c>
      <c r="I22" s="24" t="str">
        <f>IF(A22="","",SUMIF(Personnes!$C$8:$C$47,A22,Calculs!$DK$8:$DK$47))</f>
        <v/>
      </c>
      <c r="J22" s="24" t="str">
        <f>IF(A22="","",SUMIF(Personnes!$C$8:$C$47,A22,Calculs!$DL$8:$DL$47))</f>
        <v/>
      </c>
    </row>
    <row r="23" ht="28" customHeight="1">
      <c r="A23" s="27" t="str">
        <f>IF(Paramètres!F23="","",Paramètres!F23)</f>
        <v/>
      </c>
      <c r="B23" s="26" t="str">
        <f>IF(A23="","",SUM('Plan de charge (équipe)'!C23:O23))</f>
        <v/>
      </c>
      <c r="C23" s="26" t="str">
        <f>IF(A23="","",SUMIF(Calculs!$C$8:$C$247,$A23,Calculs!$R$8:$R$247))</f>
        <v/>
      </c>
      <c r="D23" s="26" t="str">
        <f>IF(A23="","",SUMPRODUCT((Calculs!$C$8:$C$247=$A23)*Calculs!$R$8:$R$247*Calculs!$V$8:$V$247))</f>
        <v/>
      </c>
      <c r="E23" s="26" t="str">
        <f>IF(A23="","",SUMPRODUCT((Calculs!$C$8:$C$247=$A23)*Calculs!$R$8:$R$247*Calculs!$W$8:$W$247))</f>
        <v/>
      </c>
      <c r="F23" s="26" t="str">
        <f>IF(A23="","",B23-D23)</f>
        <v/>
      </c>
      <c r="G23" s="26" t="str">
        <f>IF(A23="","",B23-E23)</f>
        <v/>
      </c>
      <c r="H23" s="26" t="str">
        <f>IF(A23="","",SUMIF(Personnes!$C$8:$C$47,A23,Calculs!$DJ$8:$DJ$47))</f>
        <v/>
      </c>
      <c r="I23" s="26" t="str">
        <f>IF(A23="","",SUMIF(Personnes!$C$8:$C$47,A23,Calculs!$DK$8:$DK$47))</f>
        <v/>
      </c>
      <c r="J23" s="26" t="str">
        <f>IF(A23="","",SUMIF(Personnes!$C$8:$C$47,A23,Calculs!$DL$8:$DL$47))</f>
        <v/>
      </c>
    </row>
    <row r="24" ht="28" customHeight="1">
      <c r="A24" s="25" t="str">
        <f>IF(Paramètres!F24="","",Paramètres!F24)</f>
        <v/>
      </c>
      <c r="B24" s="24" t="str">
        <f>IF(A24="","",SUM('Plan de charge (équipe)'!C24:O24))</f>
        <v/>
      </c>
      <c r="C24" s="24" t="str">
        <f>IF(A24="","",SUMIF(Calculs!$C$8:$C$247,$A24,Calculs!$R$8:$R$247))</f>
        <v/>
      </c>
      <c r="D24" s="24" t="str">
        <f>IF(A24="","",SUMPRODUCT((Calculs!$C$8:$C$247=$A24)*Calculs!$R$8:$R$247*Calculs!$V$8:$V$247))</f>
        <v/>
      </c>
      <c r="E24" s="24" t="str">
        <f>IF(A24="","",SUMPRODUCT((Calculs!$C$8:$C$247=$A24)*Calculs!$R$8:$R$247*Calculs!$W$8:$W$247))</f>
        <v/>
      </c>
      <c r="F24" s="24" t="str">
        <f>IF(A24="","",B24-D24)</f>
        <v/>
      </c>
      <c r="G24" s="24" t="str">
        <f>IF(A24="","",B24-E24)</f>
        <v/>
      </c>
      <c r="H24" s="24" t="str">
        <f>IF(A24="","",SUMIF(Personnes!$C$8:$C$47,A24,Calculs!$DJ$8:$DJ$47))</f>
        <v/>
      </c>
      <c r="I24" s="24" t="str">
        <f>IF(A24="","",SUMIF(Personnes!$C$8:$C$47,A24,Calculs!$DK$8:$DK$47))</f>
        <v/>
      </c>
      <c r="J24" s="24" t="str">
        <f>IF(A24="","",SUMIF(Personnes!$C$8:$C$47,A24,Calculs!$DL$8:$DL$47))</f>
        <v/>
      </c>
    </row>
    <row r="25" ht="28" customHeight="1">
      <c r="A25" s="27" t="str">
        <f>IF(Paramètres!F25="","",Paramètres!F25)</f>
        <v/>
      </c>
      <c r="B25" s="26" t="str">
        <f>IF(A25="","",SUM('Plan de charge (équipe)'!C25:O25))</f>
        <v/>
      </c>
      <c r="C25" s="26" t="str">
        <f>IF(A25="","",SUMIF(Calculs!$C$8:$C$247,$A25,Calculs!$R$8:$R$247))</f>
        <v/>
      </c>
      <c r="D25" s="26" t="str">
        <f>IF(A25="","",SUMPRODUCT((Calculs!$C$8:$C$247=$A25)*Calculs!$R$8:$R$247*Calculs!$V$8:$V$247))</f>
        <v/>
      </c>
      <c r="E25" s="26" t="str">
        <f>IF(A25="","",SUMPRODUCT((Calculs!$C$8:$C$247=$A25)*Calculs!$R$8:$R$247*Calculs!$W$8:$W$247))</f>
        <v/>
      </c>
      <c r="F25" s="26" t="str">
        <f>IF(A25="","",B25-D25)</f>
        <v/>
      </c>
      <c r="G25" s="26" t="str">
        <f>IF(A25="","",B25-E25)</f>
        <v/>
      </c>
      <c r="H25" s="26" t="str">
        <f>IF(A25="","",SUMIF(Personnes!$C$8:$C$47,A25,Calculs!$DJ$8:$DJ$47))</f>
        <v/>
      </c>
      <c r="I25" s="26" t="str">
        <f>IF(A25="","",SUMIF(Personnes!$C$8:$C$47,A25,Calculs!$DK$8:$DK$47))</f>
        <v/>
      </c>
      <c r="J25" s="26" t="str">
        <f>IF(A25="","",SUMIF(Personnes!$C$8:$C$47,A25,Calculs!$DL$8:$DL$47))</f>
        <v/>
      </c>
    </row>
    <row r="26" ht="28" customHeight="1">
      <c r="A26" s="25" t="str">
        <f>IF(Paramètres!F26="","",Paramètres!F26)</f>
        <v/>
      </c>
      <c r="B26" s="24" t="str">
        <f>IF(A26="","",SUM('Plan de charge (équipe)'!C26:O26))</f>
        <v/>
      </c>
      <c r="C26" s="24" t="str">
        <f>IF(A26="","",SUMIF(Calculs!$C$8:$C$247,$A26,Calculs!$R$8:$R$247))</f>
        <v/>
      </c>
      <c r="D26" s="24" t="str">
        <f>IF(A26="","",SUMPRODUCT((Calculs!$C$8:$C$247=$A26)*Calculs!$R$8:$R$247*Calculs!$V$8:$V$247))</f>
        <v/>
      </c>
      <c r="E26" s="24" t="str">
        <f>IF(A26="","",SUMPRODUCT((Calculs!$C$8:$C$247=$A26)*Calculs!$R$8:$R$247*Calculs!$W$8:$W$247))</f>
        <v/>
      </c>
      <c r="F26" s="24" t="str">
        <f>IF(A26="","",B26-D26)</f>
        <v/>
      </c>
      <c r="G26" s="24" t="str">
        <f>IF(A26="","",B26-E26)</f>
        <v/>
      </c>
      <c r="H26" s="24" t="str">
        <f>IF(A26="","",SUMIF(Personnes!$C$8:$C$47,A26,Calculs!$DJ$8:$DJ$47))</f>
        <v/>
      </c>
      <c r="I26" s="24" t="str">
        <f>IF(A26="","",SUMIF(Personnes!$C$8:$C$47,A26,Calculs!$DK$8:$DK$47))</f>
        <v/>
      </c>
      <c r="J26" s="24" t="str">
        <f>IF(A26="","",SUMIF(Personnes!$C$8:$C$47,A26,Calculs!$DL$8:$DL$47))</f>
        <v/>
      </c>
    </row>
    <row r="27" ht="28" customHeight="1">
      <c r="A27" s="27" t="str">
        <f>IF(Paramètres!F27="","",Paramètres!F27)</f>
        <v/>
      </c>
      <c r="B27" s="26" t="str">
        <f>IF(A27="","",SUM('Plan de charge (équipe)'!C27:O27))</f>
        <v/>
      </c>
      <c r="C27" s="26" t="str">
        <f>IF(A27="","",SUMIF(Calculs!$C$8:$C$247,$A27,Calculs!$R$8:$R$247))</f>
        <v/>
      </c>
      <c r="D27" s="26" t="str">
        <f>IF(A27="","",SUMPRODUCT((Calculs!$C$8:$C$247=$A27)*Calculs!$R$8:$R$247*Calculs!$V$8:$V$247))</f>
        <v/>
      </c>
      <c r="E27" s="26" t="str">
        <f>IF(A27="","",SUMPRODUCT((Calculs!$C$8:$C$247=$A27)*Calculs!$R$8:$R$247*Calculs!$W$8:$W$247))</f>
        <v/>
      </c>
      <c r="F27" s="26" t="str">
        <f>IF(A27="","",B27-D27)</f>
        <v/>
      </c>
      <c r="G27" s="26" t="str">
        <f>IF(A27="","",B27-E27)</f>
        <v/>
      </c>
      <c r="H27" s="26" t="str">
        <f>IF(A27="","",SUMIF(Personnes!$C$8:$C$47,A27,Calculs!$DJ$8:$DJ$47))</f>
        <v/>
      </c>
      <c r="I27" s="26" t="str">
        <f>IF(A27="","",SUMIF(Personnes!$C$8:$C$47,A27,Calculs!$DK$8:$DK$47))</f>
        <v/>
      </c>
      <c r="J27" s="26" t="str">
        <f>IF(A27="","",SUMIF(Personnes!$C$8:$C$47,A27,Calculs!$DL$8:$DL$47))</f>
        <v/>
      </c>
    </row>
    <row r="30">
      <c r="A30" s="9" t="inlineStr">
        <is>
          <t>Modifier un choix : onglet Projets, colonnes Option A / Option B. Afficher une option partout : Paramètres → Scénario affiché. Une capacité compatible ne valide ni les dépendances ni les obligations.</t>
        </is>
      </c>
    </row>
    <row r="31"/>
    <row r="32"/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3">
    <mergeCell ref="A30:L32"/>
    <mergeCell ref="A4:L5"/>
    <mergeCell ref="A1:L2"/>
  </mergeCells>
  <conditionalFormatting sqref="F8:G27">
    <cfRule type="cellIs" priority="1" operator="lessThan" dxfId="1">
      <formula>0</formula>
    </cfRule>
  </conditionalFormatting>
  <conditionalFormatting sqref="H8:J27">
    <cfRule type="cellIs" priority="2" operator="greaterThan" dxfId="0">
      <formula>0</formula>
    </cfRule>
  </conditionalFormatting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L6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28" customWidth="1" min="3" max="3"/>
    <col width="13" customWidth="1" min="4" max="4"/>
    <col width="28" customWidth="1" min="5" max="5"/>
    <col width="13" customWidth="1" min="6" max="6"/>
    <col width="28" customWidth="1" min="7" max="7"/>
    <col width="28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08 / Conditions pour tenir les engagements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Projet demandeur = celui qui dépend du livrable. Projet préalable = celui qui doit le fournir. Un préalable reporté reste bloquant.</t>
        </is>
      </c>
    </row>
    <row r="5" ht="20" customHeight="1"/>
    <row r="7" ht="36" customHeight="1">
      <c r="A7" s="23" t="inlineStr">
        <is>
          <t>Demandeur ID</t>
        </is>
      </c>
      <c r="B7" s="23" t="inlineStr">
        <is>
          <t>Préalable ID</t>
        </is>
      </c>
      <c r="C7" s="23" t="inlineStr">
        <is>
          <t>Livrable attendu</t>
        </is>
      </c>
      <c r="D7" s="23" t="inlineStr">
        <is>
          <t>Échéance</t>
        </is>
      </c>
      <c r="E7" s="23" t="inlineStr">
        <is>
          <t>Responsable</t>
        </is>
      </c>
      <c r="F7" s="23" t="inlineStr">
        <is>
          <t>État</t>
        </is>
      </c>
      <c r="G7" s="23" t="inlineStr">
        <is>
          <t>Conséquence du retard</t>
        </is>
      </c>
      <c r="H7" s="23" t="inlineStr">
        <is>
          <t>Alerte</t>
        </is>
      </c>
    </row>
    <row r="8" ht="28" customHeight="1">
      <c r="A8" s="21" t="n"/>
      <c r="B8" s="21" t="n"/>
      <c r="C8" s="21" t="n"/>
      <c r="D8" s="20" t="n"/>
      <c r="E8" s="21" t="n"/>
      <c r="F8" s="21" t="n"/>
      <c r="G8" s="21" t="n"/>
      <c r="H8" s="25" t="str">
        <f>IF(COUNTA(A8:G8)=0,"",IF(OR(COUNTIF(Projets,A8)&lt;&gt;1,COUNTIF(Projets,B8)&lt;&gt;1,A8=B8,C8="",E8="",NOT(ISNUMBER(D8)),NOT(OR(F8="À confirmer",F8="Confirmé",F8="Bloqué"))),"À corriger",IF(IFERROR(VLOOKUP(A8,'Projets'!$A$8:$Z$67,7,FALSE),"")&lt;&gt;"Engager","Hors sélection",IF(IFERROR(VLOOKUP(B8,'Projets'!$A$8:$Z$67,7,FALSE),"")&lt;&gt;"Engager","Préalable reporté",IF(F8&lt;&gt;"Confirmé","À résoudre","OK")))))</f>
        <v/>
      </c>
    </row>
    <row r="9" ht="28" customHeight="1">
      <c r="A9" s="21" t="n"/>
      <c r="B9" s="21" t="n"/>
      <c r="C9" s="21" t="n"/>
      <c r="D9" s="20" t="n"/>
      <c r="E9" s="21" t="n"/>
      <c r="F9" s="21" t="n"/>
      <c r="G9" s="21" t="n"/>
      <c r="H9" s="27" t="str">
        <f>IF(COUNTA(A9:G9)=0,"",IF(OR(COUNTIF(Projets,A9)&lt;&gt;1,COUNTIF(Projets,B9)&lt;&gt;1,A9=B9,C9="",E9="",NOT(ISNUMBER(D9)),NOT(OR(F9="À confirmer",F9="Confirmé",F9="Bloqué"))),"À corriger",IF(IFERROR(VLOOKUP(A9,'Projets'!$A$8:$Z$67,7,FALSE),"")&lt;&gt;"Engager","Hors sélection",IF(IFERROR(VLOOKUP(B9,'Projets'!$A$8:$Z$67,7,FALSE),"")&lt;&gt;"Engager","Préalable reporté",IF(F9&lt;&gt;"Confirmé","À résoudre","OK")))))</f>
        <v/>
      </c>
    </row>
    <row r="10" ht="28" customHeight="1">
      <c r="A10" s="21" t="n"/>
      <c r="B10" s="21" t="n"/>
      <c r="C10" s="21" t="n"/>
      <c r="D10" s="20" t="n"/>
      <c r="E10" s="21" t="n"/>
      <c r="F10" s="21" t="n"/>
      <c r="G10" s="21" t="n"/>
      <c r="H10" s="25" t="str">
        <f>IF(COUNTA(A10:G10)=0,"",IF(OR(COUNTIF(Projets,A10)&lt;&gt;1,COUNTIF(Projets,B10)&lt;&gt;1,A10=B10,C10="",E10="",NOT(ISNUMBER(D10)),NOT(OR(F10="À confirmer",F10="Confirmé",F10="Bloqué"))),"À corriger",IF(IFERROR(VLOOKUP(A10,'Projets'!$A$8:$Z$67,7,FALSE),"")&lt;&gt;"Engager","Hors sélection",IF(IFERROR(VLOOKUP(B10,'Projets'!$A$8:$Z$67,7,FALSE),"")&lt;&gt;"Engager","Préalable reporté",IF(F10&lt;&gt;"Confirmé","À résoudre","OK")))))</f>
        <v/>
      </c>
    </row>
    <row r="11" ht="28" customHeight="1">
      <c r="A11" s="21" t="n"/>
      <c r="B11" s="21" t="n"/>
      <c r="C11" s="21" t="n"/>
      <c r="D11" s="20" t="n"/>
      <c r="E11" s="21" t="n"/>
      <c r="F11" s="21" t="n"/>
      <c r="G11" s="21" t="n"/>
      <c r="H11" s="27" t="str">
        <f>IF(COUNTA(A11:G11)=0,"",IF(OR(COUNTIF(Projets,A11)&lt;&gt;1,COUNTIF(Projets,B11)&lt;&gt;1,A11=B11,C11="",E11="",NOT(ISNUMBER(D11)),NOT(OR(F11="À confirmer",F11="Confirmé",F11="Bloqué"))),"À corriger",IF(IFERROR(VLOOKUP(A11,'Projets'!$A$8:$Z$67,7,FALSE),"")&lt;&gt;"Engager","Hors sélection",IF(IFERROR(VLOOKUP(B11,'Projets'!$A$8:$Z$67,7,FALSE),"")&lt;&gt;"Engager","Préalable reporté",IF(F11&lt;&gt;"Confirmé","À résoudre","OK")))))</f>
        <v/>
      </c>
    </row>
    <row r="12" ht="28" customHeight="1">
      <c r="A12" s="21" t="n"/>
      <c r="B12" s="21" t="n"/>
      <c r="C12" s="21" t="n"/>
      <c r="D12" s="20" t="n"/>
      <c r="E12" s="21" t="n"/>
      <c r="F12" s="21" t="n"/>
      <c r="G12" s="21" t="n"/>
      <c r="H12" s="25" t="str">
        <f>IF(COUNTA(A12:G12)=0,"",IF(OR(COUNTIF(Projets,A12)&lt;&gt;1,COUNTIF(Projets,B12)&lt;&gt;1,A12=B12,C12="",E12="",NOT(ISNUMBER(D12)),NOT(OR(F12="À confirmer",F12="Confirmé",F12="Bloqué"))),"À corriger",IF(IFERROR(VLOOKUP(A12,'Projets'!$A$8:$Z$67,7,FALSE),"")&lt;&gt;"Engager","Hors sélection",IF(IFERROR(VLOOKUP(B12,'Projets'!$A$8:$Z$67,7,FALSE),"")&lt;&gt;"Engager","Préalable reporté",IF(F12&lt;&gt;"Confirmé","À résoudre","OK")))))</f>
        <v/>
      </c>
    </row>
    <row r="13" ht="28" customHeight="1">
      <c r="A13" s="21" t="n"/>
      <c r="B13" s="21" t="n"/>
      <c r="C13" s="21" t="n"/>
      <c r="D13" s="20" t="n"/>
      <c r="E13" s="21" t="n"/>
      <c r="F13" s="21" t="n"/>
      <c r="G13" s="21" t="n"/>
      <c r="H13" s="27" t="str">
        <f>IF(COUNTA(A13:G13)=0,"",IF(OR(COUNTIF(Projets,A13)&lt;&gt;1,COUNTIF(Projets,B13)&lt;&gt;1,A13=B13,C13="",E13="",NOT(ISNUMBER(D13)),NOT(OR(F13="À confirmer",F13="Confirmé",F13="Bloqué"))),"À corriger",IF(IFERROR(VLOOKUP(A13,'Projets'!$A$8:$Z$67,7,FALSE),"")&lt;&gt;"Engager","Hors sélection",IF(IFERROR(VLOOKUP(B13,'Projets'!$A$8:$Z$67,7,FALSE),"")&lt;&gt;"Engager","Préalable reporté",IF(F13&lt;&gt;"Confirmé","À résoudre","OK")))))</f>
        <v/>
      </c>
    </row>
    <row r="14" ht="28" customHeight="1">
      <c r="A14" s="21" t="n"/>
      <c r="B14" s="21" t="n"/>
      <c r="C14" s="21" t="n"/>
      <c r="D14" s="20" t="n"/>
      <c r="E14" s="21" t="n"/>
      <c r="F14" s="21" t="n"/>
      <c r="G14" s="21" t="n"/>
      <c r="H14" s="25" t="str">
        <f>IF(COUNTA(A14:G14)=0,"",IF(OR(COUNTIF(Projets,A14)&lt;&gt;1,COUNTIF(Projets,B14)&lt;&gt;1,A14=B14,C14="",E14="",NOT(ISNUMBER(D14)),NOT(OR(F14="À confirmer",F14="Confirmé",F14="Bloqué"))),"À corriger",IF(IFERROR(VLOOKUP(A14,'Projets'!$A$8:$Z$67,7,FALSE),"")&lt;&gt;"Engager","Hors sélection",IF(IFERROR(VLOOKUP(B14,'Projets'!$A$8:$Z$67,7,FALSE),"")&lt;&gt;"Engager","Préalable reporté",IF(F14&lt;&gt;"Confirmé","À résoudre","OK")))))</f>
        <v/>
      </c>
    </row>
    <row r="15" ht="28" customHeight="1">
      <c r="A15" s="21" t="n"/>
      <c r="B15" s="21" t="n"/>
      <c r="C15" s="21" t="n"/>
      <c r="D15" s="20" t="n"/>
      <c r="E15" s="21" t="n"/>
      <c r="F15" s="21" t="n"/>
      <c r="G15" s="21" t="n"/>
      <c r="H15" s="27" t="str">
        <f>IF(COUNTA(A15:G15)=0,"",IF(OR(COUNTIF(Projets,A15)&lt;&gt;1,COUNTIF(Projets,B15)&lt;&gt;1,A15=B15,C15="",E15="",NOT(ISNUMBER(D15)),NOT(OR(F15="À confirmer",F15="Confirmé",F15="Bloqué"))),"À corriger",IF(IFERROR(VLOOKUP(A15,'Projets'!$A$8:$Z$67,7,FALSE),"")&lt;&gt;"Engager","Hors sélection",IF(IFERROR(VLOOKUP(B15,'Projets'!$A$8:$Z$67,7,FALSE),"")&lt;&gt;"Engager","Préalable reporté",IF(F15&lt;&gt;"Confirmé","À résoudre","OK")))))</f>
        <v/>
      </c>
    </row>
    <row r="16" ht="28" customHeight="1">
      <c r="A16" s="21" t="n"/>
      <c r="B16" s="21" t="n"/>
      <c r="C16" s="21" t="n"/>
      <c r="D16" s="20" t="n"/>
      <c r="E16" s="21" t="n"/>
      <c r="F16" s="21" t="n"/>
      <c r="G16" s="21" t="n"/>
      <c r="H16" s="25" t="str">
        <f>IF(COUNTA(A16:G16)=0,"",IF(OR(COUNTIF(Projets,A16)&lt;&gt;1,COUNTIF(Projets,B16)&lt;&gt;1,A16=B16,C16="",E16="",NOT(ISNUMBER(D16)),NOT(OR(F16="À confirmer",F16="Confirmé",F16="Bloqué"))),"À corriger",IF(IFERROR(VLOOKUP(A16,'Projets'!$A$8:$Z$67,7,FALSE),"")&lt;&gt;"Engager","Hors sélection",IF(IFERROR(VLOOKUP(B16,'Projets'!$A$8:$Z$67,7,FALSE),"")&lt;&gt;"Engager","Préalable reporté",IF(F16&lt;&gt;"Confirmé","À résoudre","OK")))))</f>
        <v/>
      </c>
    </row>
    <row r="17" ht="28" customHeight="1">
      <c r="A17" s="21" t="n"/>
      <c r="B17" s="21" t="n"/>
      <c r="C17" s="21" t="n"/>
      <c r="D17" s="20" t="n"/>
      <c r="E17" s="21" t="n"/>
      <c r="F17" s="21" t="n"/>
      <c r="G17" s="21" t="n"/>
      <c r="H17" s="27" t="str">
        <f>IF(COUNTA(A17:G17)=0,"",IF(OR(COUNTIF(Projets,A17)&lt;&gt;1,COUNTIF(Projets,B17)&lt;&gt;1,A17=B17,C17="",E17="",NOT(ISNUMBER(D17)),NOT(OR(F17="À confirmer",F17="Confirmé",F17="Bloqué"))),"À corriger",IF(IFERROR(VLOOKUP(A17,'Projets'!$A$8:$Z$67,7,FALSE),"")&lt;&gt;"Engager","Hors sélection",IF(IFERROR(VLOOKUP(B17,'Projets'!$A$8:$Z$67,7,FALSE),"")&lt;&gt;"Engager","Préalable reporté",IF(F17&lt;&gt;"Confirmé","À résoudre","OK")))))</f>
        <v/>
      </c>
    </row>
    <row r="18" ht="28" customHeight="1">
      <c r="A18" s="21" t="n"/>
      <c r="B18" s="21" t="n"/>
      <c r="C18" s="21" t="n"/>
      <c r="D18" s="20" t="n"/>
      <c r="E18" s="21" t="n"/>
      <c r="F18" s="21" t="n"/>
      <c r="G18" s="21" t="n"/>
      <c r="H18" s="25" t="str">
        <f>IF(COUNTA(A18:G18)=0,"",IF(OR(COUNTIF(Projets,A18)&lt;&gt;1,COUNTIF(Projets,B18)&lt;&gt;1,A18=B18,C18="",E18="",NOT(ISNUMBER(D18)),NOT(OR(F18="À confirmer",F18="Confirmé",F18="Bloqué"))),"À corriger",IF(IFERROR(VLOOKUP(A18,'Projets'!$A$8:$Z$67,7,FALSE),"")&lt;&gt;"Engager","Hors sélection",IF(IFERROR(VLOOKUP(B18,'Projets'!$A$8:$Z$67,7,FALSE),"")&lt;&gt;"Engager","Préalable reporté",IF(F18&lt;&gt;"Confirmé","À résoudre","OK")))))</f>
        <v/>
      </c>
    </row>
    <row r="19" ht="28" customHeight="1">
      <c r="A19" s="21" t="n"/>
      <c r="B19" s="21" t="n"/>
      <c r="C19" s="21" t="n"/>
      <c r="D19" s="20" t="n"/>
      <c r="E19" s="21" t="n"/>
      <c r="F19" s="21" t="n"/>
      <c r="G19" s="21" t="n"/>
      <c r="H19" s="27" t="str">
        <f>IF(COUNTA(A19:G19)=0,"",IF(OR(COUNTIF(Projets,A19)&lt;&gt;1,COUNTIF(Projets,B19)&lt;&gt;1,A19=B19,C19="",E19="",NOT(ISNUMBER(D19)),NOT(OR(F19="À confirmer",F19="Confirmé",F19="Bloqué"))),"À corriger",IF(IFERROR(VLOOKUP(A19,'Projets'!$A$8:$Z$67,7,FALSE),"")&lt;&gt;"Engager","Hors sélection",IF(IFERROR(VLOOKUP(B19,'Projets'!$A$8:$Z$67,7,FALSE),"")&lt;&gt;"Engager","Préalable reporté",IF(F19&lt;&gt;"Confirmé","À résoudre","OK")))))</f>
        <v/>
      </c>
    </row>
    <row r="20" ht="28" customHeight="1">
      <c r="A20" s="21" t="n"/>
      <c r="B20" s="21" t="n"/>
      <c r="C20" s="21" t="n"/>
      <c r="D20" s="20" t="n"/>
      <c r="E20" s="21" t="n"/>
      <c r="F20" s="21" t="n"/>
      <c r="G20" s="21" t="n"/>
      <c r="H20" s="25" t="str">
        <f>IF(COUNTA(A20:G20)=0,"",IF(OR(COUNTIF(Projets,A20)&lt;&gt;1,COUNTIF(Projets,B20)&lt;&gt;1,A20=B20,C20="",E20="",NOT(ISNUMBER(D20)),NOT(OR(F20="À confirmer",F20="Confirmé",F20="Bloqué"))),"À corriger",IF(IFERROR(VLOOKUP(A20,'Projets'!$A$8:$Z$67,7,FALSE),"")&lt;&gt;"Engager","Hors sélection",IF(IFERROR(VLOOKUP(B20,'Projets'!$A$8:$Z$67,7,FALSE),"")&lt;&gt;"Engager","Préalable reporté",IF(F20&lt;&gt;"Confirmé","À résoudre","OK")))))</f>
        <v/>
      </c>
    </row>
    <row r="21" ht="28" customHeight="1">
      <c r="A21" s="21" t="n"/>
      <c r="B21" s="21" t="n"/>
      <c r="C21" s="21" t="n"/>
      <c r="D21" s="20" t="n"/>
      <c r="E21" s="21" t="n"/>
      <c r="F21" s="21" t="n"/>
      <c r="G21" s="21" t="n"/>
      <c r="H21" s="27" t="str">
        <f>IF(COUNTA(A21:G21)=0,"",IF(OR(COUNTIF(Projets,A21)&lt;&gt;1,COUNTIF(Projets,B21)&lt;&gt;1,A21=B21,C21="",E21="",NOT(ISNUMBER(D21)),NOT(OR(F21="À confirmer",F21="Confirmé",F21="Bloqué"))),"À corriger",IF(IFERROR(VLOOKUP(A21,'Projets'!$A$8:$Z$67,7,FALSE),"")&lt;&gt;"Engager","Hors sélection",IF(IFERROR(VLOOKUP(B21,'Projets'!$A$8:$Z$67,7,FALSE),"")&lt;&gt;"Engager","Préalable reporté",IF(F21&lt;&gt;"Confirmé","À résoudre","OK")))))</f>
        <v/>
      </c>
    </row>
    <row r="22" ht="28" customHeight="1">
      <c r="A22" s="21" t="n"/>
      <c r="B22" s="21" t="n"/>
      <c r="C22" s="21" t="n"/>
      <c r="D22" s="20" t="n"/>
      <c r="E22" s="21" t="n"/>
      <c r="F22" s="21" t="n"/>
      <c r="G22" s="21" t="n"/>
      <c r="H22" s="25" t="str">
        <f>IF(COUNTA(A22:G22)=0,"",IF(OR(COUNTIF(Projets,A22)&lt;&gt;1,COUNTIF(Projets,B22)&lt;&gt;1,A22=B22,C22="",E22="",NOT(ISNUMBER(D22)),NOT(OR(F22="À confirmer",F22="Confirmé",F22="Bloqué"))),"À corriger",IF(IFERROR(VLOOKUP(A22,'Projets'!$A$8:$Z$67,7,FALSE),"")&lt;&gt;"Engager","Hors sélection",IF(IFERROR(VLOOKUP(B22,'Projets'!$A$8:$Z$67,7,FALSE),"")&lt;&gt;"Engager","Préalable reporté",IF(F22&lt;&gt;"Confirmé","À résoudre","OK")))))</f>
        <v/>
      </c>
    </row>
    <row r="23" ht="28" customHeight="1">
      <c r="A23" s="21" t="n"/>
      <c r="B23" s="21" t="n"/>
      <c r="C23" s="21" t="n"/>
      <c r="D23" s="20" t="n"/>
      <c r="E23" s="21" t="n"/>
      <c r="F23" s="21" t="n"/>
      <c r="G23" s="21" t="n"/>
      <c r="H23" s="27" t="str">
        <f>IF(COUNTA(A23:G23)=0,"",IF(OR(COUNTIF(Projets,A23)&lt;&gt;1,COUNTIF(Projets,B23)&lt;&gt;1,A23=B23,C23="",E23="",NOT(ISNUMBER(D23)),NOT(OR(F23="À confirmer",F23="Confirmé",F23="Bloqué"))),"À corriger",IF(IFERROR(VLOOKUP(A23,'Projets'!$A$8:$Z$67,7,FALSE),"")&lt;&gt;"Engager","Hors sélection",IF(IFERROR(VLOOKUP(B23,'Projets'!$A$8:$Z$67,7,FALSE),"")&lt;&gt;"Engager","Préalable reporté",IF(F23&lt;&gt;"Confirmé","À résoudre","OK")))))</f>
        <v/>
      </c>
    </row>
    <row r="24" ht="28" customHeight="1">
      <c r="A24" s="21" t="n"/>
      <c r="B24" s="21" t="n"/>
      <c r="C24" s="21" t="n"/>
      <c r="D24" s="20" t="n"/>
      <c r="E24" s="21" t="n"/>
      <c r="F24" s="21" t="n"/>
      <c r="G24" s="21" t="n"/>
      <c r="H24" s="25" t="str">
        <f>IF(COUNTA(A24:G24)=0,"",IF(OR(COUNTIF(Projets,A24)&lt;&gt;1,COUNTIF(Projets,B24)&lt;&gt;1,A24=B24,C24="",E24="",NOT(ISNUMBER(D24)),NOT(OR(F24="À confirmer",F24="Confirmé",F24="Bloqué"))),"À corriger",IF(IFERROR(VLOOKUP(A24,'Projets'!$A$8:$Z$67,7,FALSE),"")&lt;&gt;"Engager","Hors sélection",IF(IFERROR(VLOOKUP(B24,'Projets'!$A$8:$Z$67,7,FALSE),"")&lt;&gt;"Engager","Préalable reporté",IF(F24&lt;&gt;"Confirmé","À résoudre","OK")))))</f>
        <v/>
      </c>
    </row>
    <row r="25" ht="28" customHeight="1">
      <c r="A25" s="21" t="n"/>
      <c r="B25" s="21" t="n"/>
      <c r="C25" s="21" t="n"/>
      <c r="D25" s="20" t="n"/>
      <c r="E25" s="21" t="n"/>
      <c r="F25" s="21" t="n"/>
      <c r="G25" s="21" t="n"/>
      <c r="H25" s="27" t="str">
        <f>IF(COUNTA(A25:G25)=0,"",IF(OR(COUNTIF(Projets,A25)&lt;&gt;1,COUNTIF(Projets,B25)&lt;&gt;1,A25=B25,C25="",E25="",NOT(ISNUMBER(D25)),NOT(OR(F25="À confirmer",F25="Confirmé",F25="Bloqué"))),"À corriger",IF(IFERROR(VLOOKUP(A25,'Projets'!$A$8:$Z$67,7,FALSE),"")&lt;&gt;"Engager","Hors sélection",IF(IFERROR(VLOOKUP(B25,'Projets'!$A$8:$Z$67,7,FALSE),"")&lt;&gt;"Engager","Préalable reporté",IF(F25&lt;&gt;"Confirmé","À résoudre","OK")))))</f>
        <v/>
      </c>
    </row>
    <row r="26" ht="28" customHeight="1">
      <c r="A26" s="21" t="n"/>
      <c r="B26" s="21" t="n"/>
      <c r="C26" s="21" t="n"/>
      <c r="D26" s="20" t="n"/>
      <c r="E26" s="21" t="n"/>
      <c r="F26" s="21" t="n"/>
      <c r="G26" s="21" t="n"/>
      <c r="H26" s="25" t="str">
        <f>IF(COUNTA(A26:G26)=0,"",IF(OR(COUNTIF(Projets,A26)&lt;&gt;1,COUNTIF(Projets,B26)&lt;&gt;1,A26=B26,C26="",E26="",NOT(ISNUMBER(D26)),NOT(OR(F26="À confirmer",F26="Confirmé",F26="Bloqué"))),"À corriger",IF(IFERROR(VLOOKUP(A26,'Projets'!$A$8:$Z$67,7,FALSE),"")&lt;&gt;"Engager","Hors sélection",IF(IFERROR(VLOOKUP(B26,'Projets'!$A$8:$Z$67,7,FALSE),"")&lt;&gt;"Engager","Préalable reporté",IF(F26&lt;&gt;"Confirmé","À résoudre","OK")))))</f>
        <v/>
      </c>
    </row>
    <row r="27" ht="28" customHeight="1">
      <c r="A27" s="21" t="n"/>
      <c r="B27" s="21" t="n"/>
      <c r="C27" s="21" t="n"/>
      <c r="D27" s="20" t="n"/>
      <c r="E27" s="21" t="n"/>
      <c r="F27" s="21" t="n"/>
      <c r="G27" s="21" t="n"/>
      <c r="H27" s="27" t="str">
        <f>IF(COUNTA(A27:G27)=0,"",IF(OR(COUNTIF(Projets,A27)&lt;&gt;1,COUNTIF(Projets,B27)&lt;&gt;1,A27=B27,C27="",E27="",NOT(ISNUMBER(D27)),NOT(OR(F27="À confirmer",F27="Confirmé",F27="Bloqué"))),"À corriger",IF(IFERROR(VLOOKUP(A27,'Projets'!$A$8:$Z$67,7,FALSE),"")&lt;&gt;"Engager","Hors sélection",IF(IFERROR(VLOOKUP(B27,'Projets'!$A$8:$Z$67,7,FALSE),"")&lt;&gt;"Engager","Préalable reporté",IF(F27&lt;&gt;"Confirmé","À résoudre","OK")))))</f>
        <v/>
      </c>
    </row>
    <row r="28" ht="28" customHeight="1">
      <c r="A28" s="21" t="n"/>
      <c r="B28" s="21" t="n"/>
      <c r="C28" s="21" t="n"/>
      <c r="D28" s="20" t="n"/>
      <c r="E28" s="21" t="n"/>
      <c r="F28" s="21" t="n"/>
      <c r="G28" s="21" t="n"/>
      <c r="H28" s="25" t="str">
        <f>IF(COUNTA(A28:G28)=0,"",IF(OR(COUNTIF(Projets,A28)&lt;&gt;1,COUNTIF(Projets,B28)&lt;&gt;1,A28=B28,C28="",E28="",NOT(ISNUMBER(D28)),NOT(OR(F28="À confirmer",F28="Confirmé",F28="Bloqué"))),"À corriger",IF(IFERROR(VLOOKUP(A28,'Projets'!$A$8:$Z$67,7,FALSE),"")&lt;&gt;"Engager","Hors sélection",IF(IFERROR(VLOOKUP(B28,'Projets'!$A$8:$Z$67,7,FALSE),"")&lt;&gt;"Engager","Préalable reporté",IF(F28&lt;&gt;"Confirmé","À résoudre","OK")))))</f>
        <v/>
      </c>
    </row>
    <row r="29" ht="28" customHeight="1">
      <c r="A29" s="21" t="n"/>
      <c r="B29" s="21" t="n"/>
      <c r="C29" s="21" t="n"/>
      <c r="D29" s="20" t="n"/>
      <c r="E29" s="21" t="n"/>
      <c r="F29" s="21" t="n"/>
      <c r="G29" s="21" t="n"/>
      <c r="H29" s="27" t="str">
        <f>IF(COUNTA(A29:G29)=0,"",IF(OR(COUNTIF(Projets,A29)&lt;&gt;1,COUNTIF(Projets,B29)&lt;&gt;1,A29=B29,C29="",E29="",NOT(ISNUMBER(D29)),NOT(OR(F29="À confirmer",F29="Confirmé",F29="Bloqué"))),"À corriger",IF(IFERROR(VLOOKUP(A29,'Projets'!$A$8:$Z$67,7,FALSE),"")&lt;&gt;"Engager","Hors sélection",IF(IFERROR(VLOOKUP(B29,'Projets'!$A$8:$Z$67,7,FALSE),"")&lt;&gt;"Engager","Préalable reporté",IF(F29&lt;&gt;"Confirmé","À résoudre","OK")))))</f>
        <v/>
      </c>
    </row>
    <row r="30" ht="28" customHeight="1">
      <c r="A30" s="21" t="n"/>
      <c r="B30" s="21" t="n"/>
      <c r="C30" s="21" t="n"/>
      <c r="D30" s="20" t="n"/>
      <c r="E30" s="21" t="n"/>
      <c r="F30" s="21" t="n"/>
      <c r="G30" s="21" t="n"/>
      <c r="H30" s="25" t="str">
        <f>IF(COUNTA(A30:G30)=0,"",IF(OR(COUNTIF(Projets,A30)&lt;&gt;1,COUNTIF(Projets,B30)&lt;&gt;1,A30=B30,C30="",E30="",NOT(ISNUMBER(D30)),NOT(OR(F30="À confirmer",F30="Confirmé",F30="Bloqué"))),"À corriger",IF(IFERROR(VLOOKUP(A30,'Projets'!$A$8:$Z$67,7,FALSE),"")&lt;&gt;"Engager","Hors sélection",IF(IFERROR(VLOOKUP(B30,'Projets'!$A$8:$Z$67,7,FALSE),"")&lt;&gt;"Engager","Préalable reporté",IF(F30&lt;&gt;"Confirmé","À résoudre","OK")))))</f>
        <v/>
      </c>
    </row>
    <row r="31" ht="28" customHeight="1">
      <c r="A31" s="21" t="n"/>
      <c r="B31" s="21" t="n"/>
      <c r="C31" s="21" t="n"/>
      <c r="D31" s="20" t="n"/>
      <c r="E31" s="21" t="n"/>
      <c r="F31" s="21" t="n"/>
      <c r="G31" s="21" t="n"/>
      <c r="H31" s="27" t="str">
        <f>IF(COUNTA(A31:G31)=0,"",IF(OR(COUNTIF(Projets,A31)&lt;&gt;1,COUNTIF(Projets,B31)&lt;&gt;1,A31=B31,C31="",E31="",NOT(ISNUMBER(D31)),NOT(OR(F31="À confirmer",F31="Confirmé",F31="Bloqué"))),"À corriger",IF(IFERROR(VLOOKUP(A31,'Projets'!$A$8:$Z$67,7,FALSE),"")&lt;&gt;"Engager","Hors sélection",IF(IFERROR(VLOOKUP(B31,'Projets'!$A$8:$Z$67,7,FALSE),"")&lt;&gt;"Engager","Préalable reporté",IF(F31&lt;&gt;"Confirmé","À résoudre","OK")))))</f>
        <v/>
      </c>
    </row>
    <row r="32" ht="28" customHeight="1">
      <c r="A32" s="21" t="n"/>
      <c r="B32" s="21" t="n"/>
      <c r="C32" s="21" t="n"/>
      <c r="D32" s="20" t="n"/>
      <c r="E32" s="21" t="n"/>
      <c r="F32" s="21" t="n"/>
      <c r="G32" s="21" t="n"/>
      <c r="H32" s="25" t="str">
        <f>IF(COUNTA(A32:G32)=0,"",IF(OR(COUNTIF(Projets,A32)&lt;&gt;1,COUNTIF(Projets,B32)&lt;&gt;1,A32=B32,C32="",E32="",NOT(ISNUMBER(D32)),NOT(OR(F32="À confirmer",F32="Confirmé",F32="Bloqué"))),"À corriger",IF(IFERROR(VLOOKUP(A32,'Projets'!$A$8:$Z$67,7,FALSE),"")&lt;&gt;"Engager","Hors sélection",IF(IFERROR(VLOOKUP(B32,'Projets'!$A$8:$Z$67,7,FALSE),"")&lt;&gt;"Engager","Préalable reporté",IF(F32&lt;&gt;"Confirmé","À résoudre","OK")))))</f>
        <v/>
      </c>
    </row>
    <row r="33" ht="28" customHeight="1">
      <c r="A33" s="21" t="n"/>
      <c r="B33" s="21" t="n"/>
      <c r="C33" s="21" t="n"/>
      <c r="D33" s="20" t="n"/>
      <c r="E33" s="21" t="n"/>
      <c r="F33" s="21" t="n"/>
      <c r="G33" s="21" t="n"/>
      <c r="H33" s="27" t="str">
        <f>IF(COUNTA(A33:G33)=0,"",IF(OR(COUNTIF(Projets,A33)&lt;&gt;1,COUNTIF(Projets,B33)&lt;&gt;1,A33=B33,C33="",E33="",NOT(ISNUMBER(D33)),NOT(OR(F33="À confirmer",F33="Confirmé",F33="Bloqué"))),"À corriger",IF(IFERROR(VLOOKUP(A33,'Projets'!$A$8:$Z$67,7,FALSE),"")&lt;&gt;"Engager","Hors sélection",IF(IFERROR(VLOOKUP(B33,'Projets'!$A$8:$Z$67,7,FALSE),"")&lt;&gt;"Engager","Préalable reporté",IF(F33&lt;&gt;"Confirmé","À résoudre","OK")))))</f>
        <v/>
      </c>
    </row>
    <row r="34" ht="28" customHeight="1">
      <c r="A34" s="21" t="n"/>
      <c r="B34" s="21" t="n"/>
      <c r="C34" s="21" t="n"/>
      <c r="D34" s="20" t="n"/>
      <c r="E34" s="21" t="n"/>
      <c r="F34" s="21" t="n"/>
      <c r="G34" s="21" t="n"/>
      <c r="H34" s="25" t="str">
        <f>IF(COUNTA(A34:G34)=0,"",IF(OR(COUNTIF(Projets,A34)&lt;&gt;1,COUNTIF(Projets,B34)&lt;&gt;1,A34=B34,C34="",E34="",NOT(ISNUMBER(D34)),NOT(OR(F34="À confirmer",F34="Confirmé",F34="Bloqué"))),"À corriger",IF(IFERROR(VLOOKUP(A34,'Projets'!$A$8:$Z$67,7,FALSE),"")&lt;&gt;"Engager","Hors sélection",IF(IFERROR(VLOOKUP(B34,'Projets'!$A$8:$Z$67,7,FALSE),"")&lt;&gt;"Engager","Préalable reporté",IF(F34&lt;&gt;"Confirmé","À résoudre","OK")))))</f>
        <v/>
      </c>
    </row>
    <row r="35" ht="28" customHeight="1">
      <c r="A35" s="21" t="n"/>
      <c r="B35" s="21" t="n"/>
      <c r="C35" s="21" t="n"/>
      <c r="D35" s="20" t="n"/>
      <c r="E35" s="21" t="n"/>
      <c r="F35" s="21" t="n"/>
      <c r="G35" s="21" t="n"/>
      <c r="H35" s="27" t="str">
        <f>IF(COUNTA(A35:G35)=0,"",IF(OR(COUNTIF(Projets,A35)&lt;&gt;1,COUNTIF(Projets,B35)&lt;&gt;1,A35=B35,C35="",E35="",NOT(ISNUMBER(D35)),NOT(OR(F35="À confirmer",F35="Confirmé",F35="Bloqué"))),"À corriger",IF(IFERROR(VLOOKUP(A35,'Projets'!$A$8:$Z$67,7,FALSE),"")&lt;&gt;"Engager","Hors sélection",IF(IFERROR(VLOOKUP(B35,'Projets'!$A$8:$Z$67,7,FALSE),"")&lt;&gt;"Engager","Préalable reporté",IF(F35&lt;&gt;"Confirmé","À résoudre","OK")))))</f>
        <v/>
      </c>
    </row>
    <row r="36" ht="28" customHeight="1">
      <c r="A36" s="21" t="n"/>
      <c r="B36" s="21" t="n"/>
      <c r="C36" s="21" t="n"/>
      <c r="D36" s="20" t="n"/>
      <c r="E36" s="21" t="n"/>
      <c r="F36" s="21" t="n"/>
      <c r="G36" s="21" t="n"/>
      <c r="H36" s="25" t="str">
        <f>IF(COUNTA(A36:G36)=0,"",IF(OR(COUNTIF(Projets,A36)&lt;&gt;1,COUNTIF(Projets,B36)&lt;&gt;1,A36=B36,C36="",E36="",NOT(ISNUMBER(D36)),NOT(OR(F36="À confirmer",F36="Confirmé",F36="Bloqué"))),"À corriger",IF(IFERROR(VLOOKUP(A36,'Projets'!$A$8:$Z$67,7,FALSE),"")&lt;&gt;"Engager","Hors sélection",IF(IFERROR(VLOOKUP(B36,'Projets'!$A$8:$Z$67,7,FALSE),"")&lt;&gt;"Engager","Préalable reporté",IF(F36&lt;&gt;"Confirmé","À résoudre","OK")))))</f>
        <v/>
      </c>
    </row>
    <row r="37" ht="28" customHeight="1">
      <c r="A37" s="21" t="n"/>
      <c r="B37" s="21" t="n"/>
      <c r="C37" s="21" t="n"/>
      <c r="D37" s="20" t="n"/>
      <c r="E37" s="21" t="n"/>
      <c r="F37" s="21" t="n"/>
      <c r="G37" s="21" t="n"/>
      <c r="H37" s="27" t="str">
        <f>IF(COUNTA(A37:G37)=0,"",IF(OR(COUNTIF(Projets,A37)&lt;&gt;1,COUNTIF(Projets,B37)&lt;&gt;1,A37=B37,C37="",E37="",NOT(ISNUMBER(D37)),NOT(OR(F37="À confirmer",F37="Confirmé",F37="Bloqué"))),"À corriger",IF(IFERROR(VLOOKUP(A37,'Projets'!$A$8:$Z$67,7,FALSE),"")&lt;&gt;"Engager","Hors sélection",IF(IFERROR(VLOOKUP(B37,'Projets'!$A$8:$Z$67,7,FALSE),"")&lt;&gt;"Engager","Préalable reporté",IF(F37&lt;&gt;"Confirmé","À résoudre","OK")))))</f>
        <v/>
      </c>
    </row>
    <row r="38" ht="28" customHeight="1">
      <c r="A38" s="21" t="n"/>
      <c r="B38" s="21" t="n"/>
      <c r="C38" s="21" t="n"/>
      <c r="D38" s="20" t="n"/>
      <c r="E38" s="21" t="n"/>
      <c r="F38" s="21" t="n"/>
      <c r="G38" s="21" t="n"/>
      <c r="H38" s="25" t="str">
        <f>IF(COUNTA(A38:G38)=0,"",IF(OR(COUNTIF(Projets,A38)&lt;&gt;1,COUNTIF(Projets,B38)&lt;&gt;1,A38=B38,C38="",E38="",NOT(ISNUMBER(D38)),NOT(OR(F38="À confirmer",F38="Confirmé",F38="Bloqué"))),"À corriger",IF(IFERROR(VLOOKUP(A38,'Projets'!$A$8:$Z$67,7,FALSE),"")&lt;&gt;"Engager","Hors sélection",IF(IFERROR(VLOOKUP(B38,'Projets'!$A$8:$Z$67,7,FALSE),"")&lt;&gt;"Engager","Préalable reporté",IF(F38&lt;&gt;"Confirmé","À résoudre","OK")))))</f>
        <v/>
      </c>
    </row>
    <row r="39" ht="28" customHeight="1">
      <c r="A39" s="21" t="n"/>
      <c r="B39" s="21" t="n"/>
      <c r="C39" s="21" t="n"/>
      <c r="D39" s="20" t="n"/>
      <c r="E39" s="21" t="n"/>
      <c r="F39" s="21" t="n"/>
      <c r="G39" s="21" t="n"/>
      <c r="H39" s="27" t="str">
        <f>IF(COUNTA(A39:G39)=0,"",IF(OR(COUNTIF(Projets,A39)&lt;&gt;1,COUNTIF(Projets,B39)&lt;&gt;1,A39=B39,C39="",E39="",NOT(ISNUMBER(D39)),NOT(OR(F39="À confirmer",F39="Confirmé",F39="Bloqué"))),"À corriger",IF(IFERROR(VLOOKUP(A39,'Projets'!$A$8:$Z$67,7,FALSE),"")&lt;&gt;"Engager","Hors sélection",IF(IFERROR(VLOOKUP(B39,'Projets'!$A$8:$Z$67,7,FALSE),"")&lt;&gt;"Engager","Préalable reporté",IF(F39&lt;&gt;"Confirmé","À résoudre","OK")))))</f>
        <v/>
      </c>
    </row>
    <row r="40" ht="28" customHeight="1">
      <c r="A40" s="21" t="n"/>
      <c r="B40" s="21" t="n"/>
      <c r="C40" s="21" t="n"/>
      <c r="D40" s="20" t="n"/>
      <c r="E40" s="21" t="n"/>
      <c r="F40" s="21" t="n"/>
      <c r="G40" s="21" t="n"/>
      <c r="H40" s="25" t="str">
        <f>IF(COUNTA(A40:G40)=0,"",IF(OR(COUNTIF(Projets,A40)&lt;&gt;1,COUNTIF(Projets,B40)&lt;&gt;1,A40=B40,C40="",E40="",NOT(ISNUMBER(D40)),NOT(OR(F40="À confirmer",F40="Confirmé",F40="Bloqué"))),"À corriger",IF(IFERROR(VLOOKUP(A40,'Projets'!$A$8:$Z$67,7,FALSE),"")&lt;&gt;"Engager","Hors sélection",IF(IFERROR(VLOOKUP(B40,'Projets'!$A$8:$Z$67,7,FALSE),"")&lt;&gt;"Engager","Préalable reporté",IF(F40&lt;&gt;"Confirmé","À résoudre","OK")))))</f>
        <v/>
      </c>
    </row>
    <row r="41" ht="28" customHeight="1">
      <c r="A41" s="21" t="n"/>
      <c r="B41" s="21" t="n"/>
      <c r="C41" s="21" t="n"/>
      <c r="D41" s="20" t="n"/>
      <c r="E41" s="21" t="n"/>
      <c r="F41" s="21" t="n"/>
      <c r="G41" s="21" t="n"/>
      <c r="H41" s="27" t="str">
        <f>IF(COUNTA(A41:G41)=0,"",IF(OR(COUNTIF(Projets,A41)&lt;&gt;1,COUNTIF(Projets,B41)&lt;&gt;1,A41=B41,C41="",E41="",NOT(ISNUMBER(D41)),NOT(OR(F41="À confirmer",F41="Confirmé",F41="Bloqué"))),"À corriger",IF(IFERROR(VLOOKUP(A41,'Projets'!$A$8:$Z$67,7,FALSE),"")&lt;&gt;"Engager","Hors sélection",IF(IFERROR(VLOOKUP(B41,'Projets'!$A$8:$Z$67,7,FALSE),"")&lt;&gt;"Engager","Préalable reporté",IF(F41&lt;&gt;"Confirmé","À résoudre","OK")))))</f>
        <v/>
      </c>
    </row>
    <row r="42" ht="28" customHeight="1">
      <c r="A42" s="21" t="n"/>
      <c r="B42" s="21" t="n"/>
      <c r="C42" s="21" t="n"/>
      <c r="D42" s="20" t="n"/>
      <c r="E42" s="21" t="n"/>
      <c r="F42" s="21" t="n"/>
      <c r="G42" s="21" t="n"/>
      <c r="H42" s="25" t="str">
        <f>IF(COUNTA(A42:G42)=0,"",IF(OR(COUNTIF(Projets,A42)&lt;&gt;1,COUNTIF(Projets,B42)&lt;&gt;1,A42=B42,C42="",E42="",NOT(ISNUMBER(D42)),NOT(OR(F42="À confirmer",F42="Confirmé",F42="Bloqué"))),"À corriger",IF(IFERROR(VLOOKUP(A42,'Projets'!$A$8:$Z$67,7,FALSE),"")&lt;&gt;"Engager","Hors sélection",IF(IFERROR(VLOOKUP(B42,'Projets'!$A$8:$Z$67,7,FALSE),"")&lt;&gt;"Engager","Préalable reporté",IF(F42&lt;&gt;"Confirmé","À résoudre","OK")))))</f>
        <v/>
      </c>
    </row>
    <row r="43" ht="28" customHeight="1">
      <c r="A43" s="21" t="n"/>
      <c r="B43" s="21" t="n"/>
      <c r="C43" s="21" t="n"/>
      <c r="D43" s="20" t="n"/>
      <c r="E43" s="21" t="n"/>
      <c r="F43" s="21" t="n"/>
      <c r="G43" s="21" t="n"/>
      <c r="H43" s="27" t="str">
        <f>IF(COUNTA(A43:G43)=0,"",IF(OR(COUNTIF(Projets,A43)&lt;&gt;1,COUNTIF(Projets,B43)&lt;&gt;1,A43=B43,C43="",E43="",NOT(ISNUMBER(D43)),NOT(OR(F43="À confirmer",F43="Confirmé",F43="Bloqué"))),"À corriger",IF(IFERROR(VLOOKUP(A43,'Projets'!$A$8:$Z$67,7,FALSE),"")&lt;&gt;"Engager","Hors sélection",IF(IFERROR(VLOOKUP(B43,'Projets'!$A$8:$Z$67,7,FALSE),"")&lt;&gt;"Engager","Préalable reporté",IF(F43&lt;&gt;"Confirmé","À résoudre","OK")))))</f>
        <v/>
      </c>
    </row>
    <row r="44" ht="28" customHeight="1">
      <c r="A44" s="21" t="n"/>
      <c r="B44" s="21" t="n"/>
      <c r="C44" s="21" t="n"/>
      <c r="D44" s="20" t="n"/>
      <c r="E44" s="21" t="n"/>
      <c r="F44" s="21" t="n"/>
      <c r="G44" s="21" t="n"/>
      <c r="H44" s="25" t="str">
        <f>IF(COUNTA(A44:G44)=0,"",IF(OR(COUNTIF(Projets,A44)&lt;&gt;1,COUNTIF(Projets,B44)&lt;&gt;1,A44=B44,C44="",E44="",NOT(ISNUMBER(D44)),NOT(OR(F44="À confirmer",F44="Confirmé",F44="Bloqué"))),"À corriger",IF(IFERROR(VLOOKUP(A44,'Projets'!$A$8:$Z$67,7,FALSE),"")&lt;&gt;"Engager","Hors sélection",IF(IFERROR(VLOOKUP(B44,'Projets'!$A$8:$Z$67,7,FALSE),"")&lt;&gt;"Engager","Préalable reporté",IF(F44&lt;&gt;"Confirmé","À résoudre","OK")))))</f>
        <v/>
      </c>
    </row>
    <row r="45" ht="28" customHeight="1">
      <c r="A45" s="21" t="n"/>
      <c r="B45" s="21" t="n"/>
      <c r="C45" s="21" t="n"/>
      <c r="D45" s="20" t="n"/>
      <c r="E45" s="21" t="n"/>
      <c r="F45" s="21" t="n"/>
      <c r="G45" s="21" t="n"/>
      <c r="H45" s="27" t="str">
        <f>IF(COUNTA(A45:G45)=0,"",IF(OR(COUNTIF(Projets,A45)&lt;&gt;1,COUNTIF(Projets,B45)&lt;&gt;1,A45=B45,C45="",E45="",NOT(ISNUMBER(D45)),NOT(OR(F45="À confirmer",F45="Confirmé",F45="Bloqué"))),"À corriger",IF(IFERROR(VLOOKUP(A45,'Projets'!$A$8:$Z$67,7,FALSE),"")&lt;&gt;"Engager","Hors sélection",IF(IFERROR(VLOOKUP(B45,'Projets'!$A$8:$Z$67,7,FALSE),"")&lt;&gt;"Engager","Préalable reporté",IF(F45&lt;&gt;"Confirmé","À résoudre","OK")))))</f>
        <v/>
      </c>
    </row>
    <row r="46" ht="28" customHeight="1">
      <c r="A46" s="21" t="n"/>
      <c r="B46" s="21" t="n"/>
      <c r="C46" s="21" t="n"/>
      <c r="D46" s="20" t="n"/>
      <c r="E46" s="21" t="n"/>
      <c r="F46" s="21" t="n"/>
      <c r="G46" s="21" t="n"/>
      <c r="H46" s="25" t="str">
        <f>IF(COUNTA(A46:G46)=0,"",IF(OR(COUNTIF(Projets,A46)&lt;&gt;1,COUNTIF(Projets,B46)&lt;&gt;1,A46=B46,C46="",E46="",NOT(ISNUMBER(D46)),NOT(OR(F46="À confirmer",F46="Confirmé",F46="Bloqué"))),"À corriger",IF(IFERROR(VLOOKUP(A46,'Projets'!$A$8:$Z$67,7,FALSE),"")&lt;&gt;"Engager","Hors sélection",IF(IFERROR(VLOOKUP(B46,'Projets'!$A$8:$Z$67,7,FALSE),"")&lt;&gt;"Engager","Préalable reporté",IF(F46&lt;&gt;"Confirmé","À résoudre","OK")))))</f>
        <v/>
      </c>
    </row>
    <row r="47" ht="28" customHeight="1">
      <c r="A47" s="21" t="n"/>
      <c r="B47" s="21" t="n"/>
      <c r="C47" s="21" t="n"/>
      <c r="D47" s="20" t="n"/>
      <c r="E47" s="21" t="n"/>
      <c r="F47" s="21" t="n"/>
      <c r="G47" s="21" t="n"/>
      <c r="H47" s="27" t="str">
        <f>IF(COUNTA(A47:G47)=0,"",IF(OR(COUNTIF(Projets,A47)&lt;&gt;1,COUNTIF(Projets,B47)&lt;&gt;1,A47=B47,C47="",E47="",NOT(ISNUMBER(D47)),NOT(OR(F47="À confirmer",F47="Confirmé",F47="Bloqué"))),"À corriger",IF(IFERROR(VLOOKUP(A47,'Projets'!$A$8:$Z$67,7,FALSE),"")&lt;&gt;"Engager","Hors sélection",IF(IFERROR(VLOOKUP(B47,'Projets'!$A$8:$Z$67,7,FALSE),"")&lt;&gt;"Engager","Préalable reporté",IF(F47&lt;&gt;"Confirmé","À résoudre","OK")))))</f>
        <v/>
      </c>
    </row>
    <row r="48" ht="28" customHeight="1">
      <c r="A48" s="21" t="n"/>
      <c r="B48" s="21" t="n"/>
      <c r="C48" s="21" t="n"/>
      <c r="D48" s="20" t="n"/>
      <c r="E48" s="21" t="n"/>
      <c r="F48" s="21" t="n"/>
      <c r="G48" s="21" t="n"/>
      <c r="H48" s="25" t="str">
        <f>IF(COUNTA(A48:G48)=0,"",IF(OR(COUNTIF(Projets,A48)&lt;&gt;1,COUNTIF(Projets,B48)&lt;&gt;1,A48=B48,C48="",E48="",NOT(ISNUMBER(D48)),NOT(OR(F48="À confirmer",F48="Confirmé",F48="Bloqué"))),"À corriger",IF(IFERROR(VLOOKUP(A48,'Projets'!$A$8:$Z$67,7,FALSE),"")&lt;&gt;"Engager","Hors sélection",IF(IFERROR(VLOOKUP(B48,'Projets'!$A$8:$Z$67,7,FALSE),"")&lt;&gt;"Engager","Préalable reporté",IF(F48&lt;&gt;"Confirmé","À résoudre","OK")))))</f>
        <v/>
      </c>
    </row>
    <row r="49" ht="28" customHeight="1">
      <c r="A49" s="21" t="n"/>
      <c r="B49" s="21" t="n"/>
      <c r="C49" s="21" t="n"/>
      <c r="D49" s="20" t="n"/>
      <c r="E49" s="21" t="n"/>
      <c r="F49" s="21" t="n"/>
      <c r="G49" s="21" t="n"/>
      <c r="H49" s="27" t="str">
        <f>IF(COUNTA(A49:G49)=0,"",IF(OR(COUNTIF(Projets,A49)&lt;&gt;1,COUNTIF(Projets,B49)&lt;&gt;1,A49=B49,C49="",E49="",NOT(ISNUMBER(D49)),NOT(OR(F49="À confirmer",F49="Confirmé",F49="Bloqué"))),"À corriger",IF(IFERROR(VLOOKUP(A49,'Projets'!$A$8:$Z$67,7,FALSE),"")&lt;&gt;"Engager","Hors sélection",IF(IFERROR(VLOOKUP(B49,'Projets'!$A$8:$Z$67,7,FALSE),"")&lt;&gt;"Engager","Préalable reporté",IF(F49&lt;&gt;"Confirmé","À résoudre","OK")))))</f>
        <v/>
      </c>
    </row>
    <row r="50" ht="28" customHeight="1">
      <c r="A50" s="21" t="n"/>
      <c r="B50" s="21" t="n"/>
      <c r="C50" s="21" t="n"/>
      <c r="D50" s="20" t="n"/>
      <c r="E50" s="21" t="n"/>
      <c r="F50" s="21" t="n"/>
      <c r="G50" s="21" t="n"/>
      <c r="H50" s="25" t="str">
        <f>IF(COUNTA(A50:G50)=0,"",IF(OR(COUNTIF(Projets,A50)&lt;&gt;1,COUNTIF(Projets,B50)&lt;&gt;1,A50=B50,C50="",E50="",NOT(ISNUMBER(D50)),NOT(OR(F50="À confirmer",F50="Confirmé",F50="Bloqué"))),"À corriger",IF(IFERROR(VLOOKUP(A50,'Projets'!$A$8:$Z$67,7,FALSE),"")&lt;&gt;"Engager","Hors sélection",IF(IFERROR(VLOOKUP(B50,'Projets'!$A$8:$Z$67,7,FALSE),"")&lt;&gt;"Engager","Préalable reporté",IF(F50&lt;&gt;"Confirmé","À résoudre","OK")))))</f>
        <v/>
      </c>
    </row>
    <row r="51" ht="28" customHeight="1">
      <c r="A51" s="21" t="n"/>
      <c r="B51" s="21" t="n"/>
      <c r="C51" s="21" t="n"/>
      <c r="D51" s="20" t="n"/>
      <c r="E51" s="21" t="n"/>
      <c r="F51" s="21" t="n"/>
      <c r="G51" s="21" t="n"/>
      <c r="H51" s="27" t="str">
        <f>IF(COUNTA(A51:G51)=0,"",IF(OR(COUNTIF(Projets,A51)&lt;&gt;1,COUNTIF(Projets,B51)&lt;&gt;1,A51=B51,C51="",E51="",NOT(ISNUMBER(D51)),NOT(OR(F51="À confirmer",F51="Confirmé",F51="Bloqué"))),"À corriger",IF(IFERROR(VLOOKUP(A51,'Projets'!$A$8:$Z$67,7,FALSE),"")&lt;&gt;"Engager","Hors sélection",IF(IFERROR(VLOOKUP(B51,'Projets'!$A$8:$Z$67,7,FALSE),"")&lt;&gt;"Engager","Préalable reporté",IF(F51&lt;&gt;"Confirmé","À résoudre","OK")))))</f>
        <v/>
      </c>
    </row>
    <row r="52" ht="28" customHeight="1">
      <c r="A52" s="21" t="n"/>
      <c r="B52" s="21" t="n"/>
      <c r="C52" s="21" t="n"/>
      <c r="D52" s="20" t="n"/>
      <c r="E52" s="21" t="n"/>
      <c r="F52" s="21" t="n"/>
      <c r="G52" s="21" t="n"/>
      <c r="H52" s="25" t="str">
        <f>IF(COUNTA(A52:G52)=0,"",IF(OR(COUNTIF(Projets,A52)&lt;&gt;1,COUNTIF(Projets,B52)&lt;&gt;1,A52=B52,C52="",E52="",NOT(ISNUMBER(D52)),NOT(OR(F52="À confirmer",F52="Confirmé",F52="Bloqué"))),"À corriger",IF(IFERROR(VLOOKUP(A52,'Projets'!$A$8:$Z$67,7,FALSE),"")&lt;&gt;"Engager","Hors sélection",IF(IFERROR(VLOOKUP(B52,'Projets'!$A$8:$Z$67,7,FALSE),"")&lt;&gt;"Engager","Préalable reporté",IF(F52&lt;&gt;"Confirmé","À résoudre","OK")))))</f>
        <v/>
      </c>
    </row>
    <row r="53" ht="28" customHeight="1">
      <c r="A53" s="21" t="n"/>
      <c r="B53" s="21" t="n"/>
      <c r="C53" s="21" t="n"/>
      <c r="D53" s="20" t="n"/>
      <c r="E53" s="21" t="n"/>
      <c r="F53" s="21" t="n"/>
      <c r="G53" s="21" t="n"/>
      <c r="H53" s="27" t="str">
        <f>IF(COUNTA(A53:G53)=0,"",IF(OR(COUNTIF(Projets,A53)&lt;&gt;1,COUNTIF(Projets,B53)&lt;&gt;1,A53=B53,C53="",E53="",NOT(ISNUMBER(D53)),NOT(OR(F53="À confirmer",F53="Confirmé",F53="Bloqué"))),"À corriger",IF(IFERROR(VLOOKUP(A53,'Projets'!$A$8:$Z$67,7,FALSE),"")&lt;&gt;"Engager","Hors sélection",IF(IFERROR(VLOOKUP(B53,'Projets'!$A$8:$Z$67,7,FALSE),"")&lt;&gt;"Engager","Préalable reporté",IF(F53&lt;&gt;"Confirmé","À résoudre","OK")))))</f>
        <v/>
      </c>
    </row>
    <row r="54" ht="28" customHeight="1">
      <c r="A54" s="21" t="n"/>
      <c r="B54" s="21" t="n"/>
      <c r="C54" s="21" t="n"/>
      <c r="D54" s="20" t="n"/>
      <c r="E54" s="21" t="n"/>
      <c r="F54" s="21" t="n"/>
      <c r="G54" s="21" t="n"/>
      <c r="H54" s="25" t="str">
        <f>IF(COUNTA(A54:G54)=0,"",IF(OR(COUNTIF(Projets,A54)&lt;&gt;1,COUNTIF(Projets,B54)&lt;&gt;1,A54=B54,C54="",E54="",NOT(ISNUMBER(D54)),NOT(OR(F54="À confirmer",F54="Confirmé",F54="Bloqué"))),"À corriger",IF(IFERROR(VLOOKUP(A54,'Projets'!$A$8:$Z$67,7,FALSE),"")&lt;&gt;"Engager","Hors sélection",IF(IFERROR(VLOOKUP(B54,'Projets'!$A$8:$Z$67,7,FALSE),"")&lt;&gt;"Engager","Préalable reporté",IF(F54&lt;&gt;"Confirmé","À résoudre","OK")))))</f>
        <v/>
      </c>
    </row>
    <row r="55" ht="28" customHeight="1">
      <c r="A55" s="21" t="n"/>
      <c r="B55" s="21" t="n"/>
      <c r="C55" s="21" t="n"/>
      <c r="D55" s="20" t="n"/>
      <c r="E55" s="21" t="n"/>
      <c r="F55" s="21" t="n"/>
      <c r="G55" s="21" t="n"/>
      <c r="H55" s="27" t="str">
        <f>IF(COUNTA(A55:G55)=0,"",IF(OR(COUNTIF(Projets,A55)&lt;&gt;1,COUNTIF(Projets,B55)&lt;&gt;1,A55=B55,C55="",E55="",NOT(ISNUMBER(D55)),NOT(OR(F55="À confirmer",F55="Confirmé",F55="Bloqué"))),"À corriger",IF(IFERROR(VLOOKUP(A55,'Projets'!$A$8:$Z$67,7,FALSE),"")&lt;&gt;"Engager","Hors sélection",IF(IFERROR(VLOOKUP(B55,'Projets'!$A$8:$Z$67,7,FALSE),"")&lt;&gt;"Engager","Préalable reporté",IF(F55&lt;&gt;"Confirmé","À résoudre","OK")))))</f>
        <v/>
      </c>
    </row>
    <row r="56" ht="28" customHeight="1">
      <c r="A56" s="21" t="n"/>
      <c r="B56" s="21" t="n"/>
      <c r="C56" s="21" t="n"/>
      <c r="D56" s="20" t="n"/>
      <c r="E56" s="21" t="n"/>
      <c r="F56" s="21" t="n"/>
      <c r="G56" s="21" t="n"/>
      <c r="H56" s="25" t="str">
        <f>IF(COUNTA(A56:G56)=0,"",IF(OR(COUNTIF(Projets,A56)&lt;&gt;1,COUNTIF(Projets,B56)&lt;&gt;1,A56=B56,C56="",E56="",NOT(ISNUMBER(D56)),NOT(OR(F56="À confirmer",F56="Confirmé",F56="Bloqué"))),"À corriger",IF(IFERROR(VLOOKUP(A56,'Projets'!$A$8:$Z$67,7,FALSE),"")&lt;&gt;"Engager","Hors sélection",IF(IFERROR(VLOOKUP(B56,'Projets'!$A$8:$Z$67,7,FALSE),"")&lt;&gt;"Engager","Préalable reporté",IF(F56&lt;&gt;"Confirmé","À résoudre","OK")))))</f>
        <v/>
      </c>
    </row>
    <row r="57" ht="28" customHeight="1">
      <c r="A57" s="21" t="n"/>
      <c r="B57" s="21" t="n"/>
      <c r="C57" s="21" t="n"/>
      <c r="D57" s="20" t="n"/>
      <c r="E57" s="21" t="n"/>
      <c r="F57" s="21" t="n"/>
      <c r="G57" s="21" t="n"/>
      <c r="H57" s="27" t="str">
        <f>IF(COUNTA(A57:G57)=0,"",IF(OR(COUNTIF(Projets,A57)&lt;&gt;1,COUNTIF(Projets,B57)&lt;&gt;1,A57=B57,C57="",E57="",NOT(ISNUMBER(D57)),NOT(OR(F57="À confirmer",F57="Confirmé",F57="Bloqué"))),"À corriger",IF(IFERROR(VLOOKUP(A57,'Projets'!$A$8:$Z$67,7,FALSE),"")&lt;&gt;"Engager","Hors sélection",IF(IFERROR(VLOOKUP(B57,'Projets'!$A$8:$Z$67,7,FALSE),"")&lt;&gt;"Engager","Préalable reporté",IF(F57&lt;&gt;"Confirmé","À résoudre","OK")))))</f>
        <v/>
      </c>
    </row>
    <row r="58" ht="28" customHeight="1">
      <c r="A58" s="21" t="n"/>
      <c r="B58" s="21" t="n"/>
      <c r="C58" s="21" t="n"/>
      <c r="D58" s="20" t="n"/>
      <c r="E58" s="21" t="n"/>
      <c r="F58" s="21" t="n"/>
      <c r="G58" s="21" t="n"/>
      <c r="H58" s="25" t="str">
        <f>IF(COUNTA(A58:G58)=0,"",IF(OR(COUNTIF(Projets,A58)&lt;&gt;1,COUNTIF(Projets,B58)&lt;&gt;1,A58=B58,C58="",E58="",NOT(ISNUMBER(D58)),NOT(OR(F58="À confirmer",F58="Confirmé",F58="Bloqué"))),"À corriger",IF(IFERROR(VLOOKUP(A58,'Projets'!$A$8:$Z$67,7,FALSE),"")&lt;&gt;"Engager","Hors sélection",IF(IFERROR(VLOOKUP(B58,'Projets'!$A$8:$Z$67,7,FALSE),"")&lt;&gt;"Engager","Préalable reporté",IF(F58&lt;&gt;"Confirmé","À résoudre","OK")))))</f>
        <v/>
      </c>
    </row>
    <row r="59" ht="28" customHeight="1">
      <c r="A59" s="21" t="n"/>
      <c r="B59" s="21" t="n"/>
      <c r="C59" s="21" t="n"/>
      <c r="D59" s="20" t="n"/>
      <c r="E59" s="21" t="n"/>
      <c r="F59" s="21" t="n"/>
      <c r="G59" s="21" t="n"/>
      <c r="H59" s="27" t="str">
        <f>IF(COUNTA(A59:G59)=0,"",IF(OR(COUNTIF(Projets,A59)&lt;&gt;1,COUNTIF(Projets,B59)&lt;&gt;1,A59=B59,C59="",E59="",NOT(ISNUMBER(D59)),NOT(OR(F59="À confirmer",F59="Confirmé",F59="Bloqué"))),"À corriger",IF(IFERROR(VLOOKUP(A59,'Projets'!$A$8:$Z$67,7,FALSE),"")&lt;&gt;"Engager","Hors sélection",IF(IFERROR(VLOOKUP(B59,'Projets'!$A$8:$Z$67,7,FALSE),"")&lt;&gt;"Engager","Préalable reporté",IF(F59&lt;&gt;"Confirmé","À résoudre","OK")))))</f>
        <v/>
      </c>
    </row>
    <row r="60" ht="28" customHeight="1">
      <c r="A60" s="21" t="n"/>
      <c r="B60" s="21" t="n"/>
      <c r="C60" s="21" t="n"/>
      <c r="D60" s="20" t="n"/>
      <c r="E60" s="21" t="n"/>
      <c r="F60" s="21" t="n"/>
      <c r="G60" s="21" t="n"/>
      <c r="H60" s="25" t="str">
        <f>IF(COUNTA(A60:G60)=0,"",IF(OR(COUNTIF(Projets,A60)&lt;&gt;1,COUNTIF(Projets,B60)&lt;&gt;1,A60=B60,C60="",E60="",NOT(ISNUMBER(D60)),NOT(OR(F60="À confirmer",F60="Confirmé",F60="Bloqué"))),"À corriger",IF(IFERROR(VLOOKUP(A60,'Projets'!$A$8:$Z$67,7,FALSE),"")&lt;&gt;"Engager","Hors sélection",IF(IFERROR(VLOOKUP(B60,'Projets'!$A$8:$Z$67,7,FALSE),"")&lt;&gt;"Engager","Préalable reporté",IF(F60&lt;&gt;"Confirmé","À résoudre","OK")))))</f>
        <v/>
      </c>
    </row>
    <row r="61" ht="28" customHeight="1">
      <c r="A61" s="21" t="n"/>
      <c r="B61" s="21" t="n"/>
      <c r="C61" s="21" t="n"/>
      <c r="D61" s="20" t="n"/>
      <c r="E61" s="21" t="n"/>
      <c r="F61" s="21" t="n"/>
      <c r="G61" s="21" t="n"/>
      <c r="H61" s="27" t="str">
        <f>IF(COUNTA(A61:G61)=0,"",IF(OR(COUNTIF(Projets,A61)&lt;&gt;1,COUNTIF(Projets,B61)&lt;&gt;1,A61=B61,C61="",E61="",NOT(ISNUMBER(D61)),NOT(OR(F61="À confirmer",F61="Confirmé",F61="Bloqué"))),"À corriger",IF(IFERROR(VLOOKUP(A61,'Projets'!$A$8:$Z$67,7,FALSE),"")&lt;&gt;"Engager","Hors sélection",IF(IFERROR(VLOOKUP(B61,'Projets'!$A$8:$Z$67,7,FALSE),"")&lt;&gt;"Engager","Préalable reporté",IF(F61&lt;&gt;"Confirmé","À résoudre","OK")))))</f>
        <v/>
      </c>
    </row>
    <row r="62" ht="28" customHeight="1">
      <c r="A62" s="21" t="n"/>
      <c r="B62" s="21" t="n"/>
      <c r="C62" s="21" t="n"/>
      <c r="D62" s="20" t="n"/>
      <c r="E62" s="21" t="n"/>
      <c r="F62" s="21" t="n"/>
      <c r="G62" s="21" t="n"/>
      <c r="H62" s="25" t="str">
        <f>IF(COUNTA(A62:G62)=0,"",IF(OR(COUNTIF(Projets,A62)&lt;&gt;1,COUNTIF(Projets,B62)&lt;&gt;1,A62=B62,C62="",E62="",NOT(ISNUMBER(D62)),NOT(OR(F62="À confirmer",F62="Confirmé",F62="Bloqué"))),"À corriger",IF(IFERROR(VLOOKUP(A62,'Projets'!$A$8:$Z$67,7,FALSE),"")&lt;&gt;"Engager","Hors sélection",IF(IFERROR(VLOOKUP(B62,'Projets'!$A$8:$Z$67,7,FALSE),"")&lt;&gt;"Engager","Préalable reporté",IF(F62&lt;&gt;"Confirmé","À résoudre","OK")))))</f>
        <v/>
      </c>
    </row>
    <row r="63" ht="28" customHeight="1">
      <c r="A63" s="21" t="n"/>
      <c r="B63" s="21" t="n"/>
      <c r="C63" s="21" t="n"/>
      <c r="D63" s="20" t="n"/>
      <c r="E63" s="21" t="n"/>
      <c r="F63" s="21" t="n"/>
      <c r="G63" s="21" t="n"/>
      <c r="H63" s="27" t="str">
        <f>IF(COUNTA(A63:G63)=0,"",IF(OR(COUNTIF(Projets,A63)&lt;&gt;1,COUNTIF(Projets,B63)&lt;&gt;1,A63=B63,C63="",E63="",NOT(ISNUMBER(D63)),NOT(OR(F63="À confirmer",F63="Confirmé",F63="Bloqué"))),"À corriger",IF(IFERROR(VLOOKUP(A63,'Projets'!$A$8:$Z$67,7,FALSE),"")&lt;&gt;"Engager","Hors sélection",IF(IFERROR(VLOOKUP(B63,'Projets'!$A$8:$Z$67,7,FALSE),"")&lt;&gt;"Engager","Préalable reporté",IF(F63&lt;&gt;"Confirmé","À résoudre","OK")))))</f>
        <v/>
      </c>
    </row>
    <row r="64" ht="28" customHeight="1">
      <c r="A64" s="21" t="n"/>
      <c r="B64" s="21" t="n"/>
      <c r="C64" s="21" t="n"/>
      <c r="D64" s="20" t="n"/>
      <c r="E64" s="21" t="n"/>
      <c r="F64" s="21" t="n"/>
      <c r="G64" s="21" t="n"/>
      <c r="H64" s="25" t="str">
        <f>IF(COUNTA(A64:G64)=0,"",IF(OR(COUNTIF(Projets,A64)&lt;&gt;1,COUNTIF(Projets,B64)&lt;&gt;1,A64=B64,C64="",E64="",NOT(ISNUMBER(D64)),NOT(OR(F64="À confirmer",F64="Confirmé",F64="Bloqué"))),"À corriger",IF(IFERROR(VLOOKUP(A64,'Projets'!$A$8:$Z$67,7,FALSE),"")&lt;&gt;"Engager","Hors sélection",IF(IFERROR(VLOOKUP(B64,'Projets'!$A$8:$Z$67,7,FALSE),"")&lt;&gt;"Engager","Préalable reporté",IF(F64&lt;&gt;"Confirmé","À résoudre","OK")))))</f>
        <v/>
      </c>
    </row>
    <row r="65" ht="28" customHeight="1">
      <c r="A65" s="21" t="n"/>
      <c r="B65" s="21" t="n"/>
      <c r="C65" s="21" t="n"/>
      <c r="D65" s="20" t="n"/>
      <c r="E65" s="21" t="n"/>
      <c r="F65" s="21" t="n"/>
      <c r="G65" s="21" t="n"/>
      <c r="H65" s="27" t="str">
        <f>IF(COUNTA(A65:G65)=0,"",IF(OR(COUNTIF(Projets,A65)&lt;&gt;1,COUNTIF(Projets,B65)&lt;&gt;1,A65=B65,C65="",E65="",NOT(ISNUMBER(D65)),NOT(OR(F65="À confirmer",F65="Confirmé",F65="Bloqué"))),"À corriger",IF(IFERROR(VLOOKUP(A65,'Projets'!$A$8:$Z$67,7,FALSE),"")&lt;&gt;"Engager","Hors sélection",IF(IFERROR(VLOOKUP(B65,'Projets'!$A$8:$Z$67,7,FALSE),"")&lt;&gt;"Engager","Préalable reporté",IF(F65&lt;&gt;"Confirmé","À résoudre","OK")))))</f>
        <v/>
      </c>
    </row>
    <row r="66" ht="28" customHeight="1">
      <c r="A66" s="21" t="n"/>
      <c r="B66" s="21" t="n"/>
      <c r="C66" s="21" t="n"/>
      <c r="D66" s="20" t="n"/>
      <c r="E66" s="21" t="n"/>
      <c r="F66" s="21" t="n"/>
      <c r="G66" s="21" t="n"/>
      <c r="H66" s="25" t="str">
        <f>IF(COUNTA(A66:G66)=0,"",IF(OR(COUNTIF(Projets,A66)&lt;&gt;1,COUNTIF(Projets,B66)&lt;&gt;1,A66=B66,C66="",E66="",NOT(ISNUMBER(D66)),NOT(OR(F66="À confirmer",F66="Confirmé",F66="Bloqué"))),"À corriger",IF(IFERROR(VLOOKUP(A66,'Projets'!$A$8:$Z$67,7,FALSE),"")&lt;&gt;"Engager","Hors sélection",IF(IFERROR(VLOOKUP(B66,'Projets'!$A$8:$Z$67,7,FALSE),"")&lt;&gt;"Engager","Préalable reporté",IF(F66&lt;&gt;"Confirmé","À résoudre","OK")))))</f>
        <v/>
      </c>
    </row>
    <row r="67" ht="28" customHeight="1">
      <c r="A67" s="21" t="n"/>
      <c r="B67" s="21" t="n"/>
      <c r="C67" s="21" t="n"/>
      <c r="D67" s="20" t="n"/>
      <c r="E67" s="21" t="n"/>
      <c r="F67" s="21" t="n"/>
      <c r="G67" s="21" t="n"/>
      <c r="H67" s="27" t="str">
        <f>IF(COUNTA(A67:G67)=0,"",IF(OR(COUNTIF(Projets,A67)&lt;&gt;1,COUNTIF(Projets,B67)&lt;&gt;1,A67=B67,C67="",E67="",NOT(ISNUMBER(D67)),NOT(OR(F67="À confirmer",F67="Confirmé",F67="Bloqué"))),"À corriger",IF(IFERROR(VLOOKUP(A67,'Projets'!$A$8:$Z$67,7,FALSE),"")&lt;&gt;"Engager","Hors sélection",IF(IFERROR(VLOOKUP(B67,'Projets'!$A$8:$Z$67,7,FALSE),"")&lt;&gt;"Engager","Préalable reporté",IF(F67&lt;&gt;"Confirmé","À résoudre","OK")))))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">
    <mergeCell ref="A4:L5"/>
    <mergeCell ref="A1:L2"/>
  </mergeCells>
  <conditionalFormatting sqref="H8:H67">
    <cfRule type="expression" priority="1" dxfId="0">
      <formula>AND(H8&lt;&gt;"",H8&lt;&gt;"OK")</formula>
    </cfRule>
  </conditionalFormatting>
  <dataValidations count="2">
    <dataValidation sqref="A8:B67" showDropDown="0" showInputMessage="0" showErrorMessage="1" allowBlank="1" errorTitle="Saisie à corriger" error="Utilisez une valeur autorisée. Les contrôles repèrent aussi les erreurs collées." type="list" errorStyle="stop">
      <formula1>=Projets</formula1>
    </dataValidation>
    <dataValidation sqref="F8:F67" showDropDown="0" showInputMessage="0" showErrorMessage="1" allowBlank="1" errorTitle="Saisie à corriger" error="Utilisez une valeur autorisée. Les contrôles repèrent aussi les erreurs collées." type="list" errorStyle="stop">
      <formula1>"À confirmer,Confirmé,Bloqué"</formula1>
    </dataValidation>
  </dataValidation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L2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10 / Consigner la décision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Le scénario affiché est la décision à documenter. Modifier les données recalcule les résultats ; relisez les motifs et faites de nouveau valider la décision.</t>
        </is>
      </c>
    </row>
    <row r="5" ht="20" customHeight="1"/>
    <row r="8">
      <c r="A8" s="19" t="inlineStr">
        <is>
          <t>Scénario présenté</t>
        </is>
      </c>
      <c r="D8" s="30" t="str">
        <f>Paramètres!B10</f>
        <v>Tous</v>
      </c>
      <c r="E8" s="7" t="n"/>
      <c r="F8" s="7" t="n"/>
      <c r="G8" s="7" t="n"/>
      <c r="H8" s="7" t="n"/>
      <c r="I8" s="7" t="n"/>
      <c r="J8" s="7" t="n"/>
      <c r="K8" s="7" t="n"/>
      <c r="L8" s="7" t="n"/>
    </row>
    <row r="9"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>
      <c r="A10" s="19" t="inlineStr">
        <is>
          <t>Décideur</t>
        </is>
      </c>
      <c r="D10" s="21" t="n"/>
      <c r="E10" s="31" t="n"/>
      <c r="F10" s="31" t="n"/>
      <c r="G10" s="31" t="n"/>
      <c r="H10" s="31" t="n"/>
      <c r="I10" s="31" t="n"/>
      <c r="J10" s="31" t="n"/>
      <c r="K10" s="31" t="n"/>
      <c r="L10" s="31" t="n"/>
    </row>
    <row r="11"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>
      <c r="A12" s="19" t="inlineStr">
        <is>
          <t>Date de revue</t>
        </is>
      </c>
      <c r="D12" s="32" t="n"/>
      <c r="E12" s="31" t="n"/>
      <c r="F12" s="31" t="n"/>
      <c r="G12" s="31" t="n"/>
      <c r="H12" s="31" t="n"/>
      <c r="I12" s="31" t="n"/>
      <c r="J12" s="31" t="n"/>
      <c r="K12" s="31" t="n"/>
      <c r="L12" s="31" t="n"/>
    </row>
    <row r="13"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>
      <c r="A14" s="19" t="inlineStr">
        <is>
          <t>Motif du choix</t>
        </is>
      </c>
      <c r="D14" s="21" t="n"/>
      <c r="E14" s="31" t="n"/>
      <c r="F14" s="31" t="n"/>
      <c r="G14" s="31" t="n"/>
      <c r="H14" s="31" t="n"/>
      <c r="I14" s="31" t="n"/>
      <c r="J14" s="31" t="n"/>
      <c r="K14" s="31" t="n"/>
      <c r="L14" s="31" t="n"/>
    </row>
    <row r="15"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8">
      <c r="A18" s="19" t="inlineStr">
        <is>
          <t>Conséquences des reports</t>
        </is>
      </c>
      <c r="D18" s="21" t="n"/>
      <c r="E18" s="31" t="n"/>
      <c r="F18" s="31" t="n"/>
      <c r="G18" s="31" t="n"/>
      <c r="H18" s="31" t="n"/>
      <c r="I18" s="31" t="n"/>
      <c r="J18" s="31" t="n"/>
      <c r="K18" s="31" t="n"/>
      <c r="L18" s="31" t="n"/>
    </row>
    <row r="19"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2">
      <c r="A22" s="19" t="inlineStr">
        <is>
          <t>Conditions de validation</t>
        </is>
      </c>
      <c r="D22" s="21" t="n"/>
      <c r="E22" s="31" t="n"/>
      <c r="F22" s="31" t="n"/>
      <c r="G22" s="31" t="n"/>
      <c r="H22" s="31" t="n"/>
      <c r="I22" s="31" t="n"/>
      <c r="J22" s="31" t="n"/>
      <c r="K22" s="31" t="n"/>
      <c r="L22" s="31" t="n"/>
    </row>
    <row r="23"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  <row r="26">
      <c r="A26" s="19" t="inlineStr">
        <is>
          <t>Prochain réexamen</t>
        </is>
      </c>
      <c r="D26" s="32" t="n"/>
      <c r="E26" s="31" t="n"/>
      <c r="F26" s="31" t="n"/>
      <c r="G26" s="31" t="n"/>
      <c r="H26" s="31" t="n"/>
      <c r="I26" s="31" t="n"/>
      <c r="J26" s="31" t="n"/>
      <c r="K26" s="31" t="n"/>
      <c r="L26" s="31" t="n"/>
    </row>
    <row r="27">
      <c r="D27" s="31" t="n"/>
      <c r="E27" s="31" t="n"/>
      <c r="F27" s="31" t="n"/>
      <c r="G27" s="31" t="n"/>
      <c r="H27" s="31" t="n"/>
      <c r="I27" s="31" t="n"/>
      <c r="J27" s="31" t="n"/>
      <c r="K27" s="31" t="n"/>
      <c r="L27" s="31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6">
    <mergeCell ref="A4:L5"/>
    <mergeCell ref="A10:C11"/>
    <mergeCell ref="A18:C19"/>
    <mergeCell ref="D12:L13"/>
    <mergeCell ref="A8:C9"/>
    <mergeCell ref="A1:L2"/>
    <mergeCell ref="D10:L11"/>
    <mergeCell ref="A14:C15"/>
    <mergeCell ref="D14:L15"/>
    <mergeCell ref="D18:L19"/>
    <mergeCell ref="A22:C23"/>
    <mergeCell ref="D22:L23"/>
    <mergeCell ref="D26:L27"/>
    <mergeCell ref="A12:C13"/>
    <mergeCell ref="D8:L9"/>
    <mergeCell ref="A26:C27"/>
  </mergeCell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4353E8"/>
    <outlinePr summaryBelow="1" summaryRight="0"/>
    <pageSetUpPr fitToPage="1"/>
  </sheetPr>
  <dimension ref="A1:L98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Décision de capacité / support de revue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Les chiffres viennent du classeur. Exportez cette feuille en PDF après vérification. Pour figer une décision historique, conservez une copie datée du fichier.</t>
        </is>
      </c>
    </row>
    <row r="5" ht="20" customHeight="1"/>
    <row r="7">
      <c r="A7" s="11" t="inlineStr">
        <is>
          <t>SCÉNARIO</t>
        </is>
      </c>
      <c r="D7" s="33" t="str">
        <f>Paramètres!B10</f>
        <v>Tous</v>
      </c>
      <c r="E7" s="14" t="n"/>
      <c r="F7" s="14" t="n"/>
      <c r="G7" s="14" t="n"/>
      <c r="H7" s="14" t="n"/>
      <c r="I7" s="14" t="n"/>
      <c r="J7" s="14" t="n"/>
      <c r="K7" s="14" t="n"/>
      <c r="L7" s="14" t="n"/>
    </row>
    <row r="8"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</row>
    <row r="9"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>
      <c r="A10" s="11" t="inlineStr">
        <is>
          <t>CAPACITÉ / CHARGE / DÉFICIT</t>
        </is>
      </c>
      <c r="D10" s="33" t="str">
        <f>TEXT(Synthèse!D8,"0.0")&amp;" j disponibles / "&amp;TEXT(Synthèse!G8,"0.0")&amp;" j retenus / "&amp;TEXT(Synthèse!J8,"0.0")&amp;" j de déficit local"</f>
        <v>0,0 j disponibles / 0,0 j retenus / 0,0 j de déficit local</v>
      </c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</row>
    <row r="13">
      <c r="A13" s="11" t="inlineStr">
        <is>
          <t>LECTURE</t>
        </is>
      </c>
      <c r="D13" s="33" t="str">
        <f>Synthèse!A12</f>
        <v>À RENSEIGNER — ajoutez vos personnes, projets et charges</v>
      </c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>
      <c r="A16" s="11" t="inlineStr">
        <is>
          <t>RESPONSABLE / DATE</t>
        </is>
      </c>
      <c r="D16" s="33" t="str">
        <f>IF(Décision!D10="","Décideur à renseigner",Décision!D10)&amp;" • "&amp;IF(Décision!D12="","date à renseigner",TEXT(Décision!D12,"dd/mm/yyyy"))</f>
        <v>Décideur à renseigner • date à renseigner</v>
      </c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>
      <c r="A19" s="11" t="inlineStr">
        <is>
          <t>ENGAGEMENTS</t>
        </is>
      </c>
      <c r="D19" s="34" t="str">
        <f>IF(Calculs!DM67="","Aucun",IF(LEN(Calculs!DM67)&gt;220,LEFT(Calculs!DM67,220)&amp;"… (liste complète dans Projets)",Calculs!DM67))</f>
        <v>Aucun</v>
      </c>
      <c r="E19" s="14" t="n"/>
      <c r="F19" s="14" t="n"/>
      <c r="G19" s="14" t="n"/>
      <c r="H19" s="14" t="n"/>
      <c r="I19" s="14" t="n"/>
      <c r="J19" s="14" t="n"/>
      <c r="K19" s="14" t="n"/>
      <c r="L19" s="14" t="n"/>
    </row>
    <row r="20"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</row>
    <row r="21"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>
      <c r="A22" s="11" t="inlineStr">
        <is>
          <t>REPORTS</t>
        </is>
      </c>
      <c r="D22" s="34" t="str">
        <f>IF(Calculs!DN67="","Aucun",IF(LEN(Calculs!DN67)&gt;220,LEFT(Calculs!DN67,220)&amp;"… (liste complète dans Projets)",Calculs!DN67))</f>
        <v>Aucun</v>
      </c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</row>
    <row r="24"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</row>
    <row r="25">
      <c r="A25" s="11" t="inlineStr">
        <is>
          <t>MOTIF DU CHOIX</t>
        </is>
      </c>
      <c r="D25" s="33" t="str">
        <f>IF(Décision!D14="","À compléter",Décision!D14)</f>
        <v>À compléter</v>
      </c>
      <c r="E25" s="14" t="n"/>
      <c r="F25" s="14" t="n"/>
      <c r="G25" s="14" t="n"/>
      <c r="H25" s="14" t="n"/>
      <c r="I25" s="14" t="n"/>
      <c r="J25" s="14" t="n"/>
      <c r="K25" s="14" t="n"/>
      <c r="L25" s="14" t="n"/>
    </row>
    <row r="26"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</row>
    <row r="27"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</row>
    <row r="28">
      <c r="A28" s="11" t="inlineStr">
        <is>
          <t>CONSÉQUENCES / CONDITIONS</t>
        </is>
      </c>
      <c r="D28" s="33" t="str">
        <f>IF(Décision!D18="","Conséquences à préciser",Décision!D18)&amp;" — "&amp;IF(Décision!D22="","Conditions à préciser",Décision!D22)</f>
        <v>Conséquences à préciser — Conditions à préciser</v>
      </c>
      <c r="E28" s="14" t="n"/>
      <c r="F28" s="14" t="n"/>
      <c r="G28" s="14" t="n"/>
      <c r="H28" s="14" t="n"/>
      <c r="I28" s="14" t="n"/>
      <c r="J28" s="14" t="n"/>
      <c r="K28" s="14" t="n"/>
      <c r="L28" s="14" t="n"/>
    </row>
    <row r="29"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</row>
    <row r="30"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2">
      <c r="A32" s="11" t="inlineStr">
        <is>
          <t>PROCHAINE REVUE</t>
        </is>
      </c>
      <c r="D32" s="33" t="str">
        <f>IF(Décision!D26="","À fixer",TEXT(Décision!D26,"dd/mm/yyyy"))</f>
        <v>À fixer</v>
      </c>
      <c r="E32" s="14" t="n"/>
      <c r="F32" s="14" t="n"/>
      <c r="G32" s="14" t="n"/>
      <c r="H32" s="14" t="n"/>
      <c r="I32" s="14" t="n"/>
      <c r="J32" s="14" t="n"/>
      <c r="K32" s="14" t="n"/>
      <c r="L32" s="14" t="n"/>
    </row>
    <row r="33"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</row>
    <row r="34"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</row>
    <row r="35">
      <c r="A35" s="16" t="str">
        <f>"Engagés : "&amp;COUNTIF(Projets!G8:G67,"Engager")&amp;" / reportés : "&amp;COUNTIF(Projets!G8:G67,"Reporter")&amp;" / dépendances ouvertes : "&amp;(COUNTIF(Dépendances!H8:H67,"À résoudre")+COUNTIF(Dépendances!H8:H67,"Préalable reporté"))</f>
        <v>Engagés : 0 / reportés : 0 / dépendances ouvertes : 0</v>
      </c>
    </row>
    <row r="36"/>
    <row r="38" ht="36" customHeight="1">
      <c r="A38" s="23" t="inlineStr">
        <is>
          <t>Projet</t>
        </is>
      </c>
      <c r="B38" s="23" t="inlineStr">
        <is>
          <t>Décision</t>
        </is>
      </c>
      <c r="C38" s="23" t="inlineStr">
        <is>
          <t>Sponsor</t>
        </is>
      </c>
      <c r="D38" s="23" t="inlineStr">
        <is>
          <t>Conséquence</t>
        </is>
      </c>
    </row>
    <row r="39" ht="28" customHeight="1">
      <c r="A39" s="27" t="str">
        <f>IF(Projets!A8="","",Projets!B8)</f>
        <v/>
      </c>
      <c r="B39" s="27" t="str">
        <f>IF(Projets!A8="","",Projets!G8)</f>
        <v/>
      </c>
      <c r="C39" s="27" t="str">
        <f>IF(Projets!A8="","",Projets!C8)</f>
        <v/>
      </c>
      <c r="D39" s="27" t="str">
        <f>IF(Projets!A8="","",Projets!I8)</f>
        <v/>
      </c>
    </row>
    <row r="40" ht="28" customHeight="1">
      <c r="A40" s="25" t="str">
        <f>IF(Projets!A9="","",Projets!B9)</f>
        <v/>
      </c>
      <c r="B40" s="25" t="str">
        <f>IF(Projets!A9="","",Projets!G9)</f>
        <v/>
      </c>
      <c r="C40" s="25" t="str">
        <f>IF(Projets!A9="","",Projets!C9)</f>
        <v/>
      </c>
      <c r="D40" s="25" t="str">
        <f>IF(Projets!A9="","",Projets!I9)</f>
        <v/>
      </c>
    </row>
    <row r="41" ht="28" customHeight="1">
      <c r="A41" s="27" t="str">
        <f>IF(Projets!A10="","",Projets!B10)</f>
        <v/>
      </c>
      <c r="B41" s="27" t="str">
        <f>IF(Projets!A10="","",Projets!G10)</f>
        <v/>
      </c>
      <c r="C41" s="27" t="str">
        <f>IF(Projets!A10="","",Projets!C10)</f>
        <v/>
      </c>
      <c r="D41" s="27" t="str">
        <f>IF(Projets!A10="","",Projets!I10)</f>
        <v/>
      </c>
    </row>
    <row r="42" ht="28" customHeight="1">
      <c r="A42" s="25" t="str">
        <f>IF(Projets!A11="","",Projets!B11)</f>
        <v/>
      </c>
      <c r="B42" s="25" t="str">
        <f>IF(Projets!A11="","",Projets!G11)</f>
        <v/>
      </c>
      <c r="C42" s="25" t="str">
        <f>IF(Projets!A11="","",Projets!C11)</f>
        <v/>
      </c>
      <c r="D42" s="25" t="str">
        <f>IF(Projets!A11="","",Projets!I11)</f>
        <v/>
      </c>
    </row>
    <row r="43" ht="28" customHeight="1">
      <c r="A43" s="27" t="str">
        <f>IF(Projets!A12="","",Projets!B12)</f>
        <v/>
      </c>
      <c r="B43" s="27" t="str">
        <f>IF(Projets!A12="","",Projets!G12)</f>
        <v/>
      </c>
      <c r="C43" s="27" t="str">
        <f>IF(Projets!A12="","",Projets!C12)</f>
        <v/>
      </c>
      <c r="D43" s="27" t="str">
        <f>IF(Projets!A12="","",Projets!I12)</f>
        <v/>
      </c>
    </row>
    <row r="44" ht="28" customHeight="1">
      <c r="A44" s="25" t="str">
        <f>IF(Projets!A13="","",Projets!B13)</f>
        <v/>
      </c>
      <c r="B44" s="25" t="str">
        <f>IF(Projets!A13="","",Projets!G13)</f>
        <v/>
      </c>
      <c r="C44" s="25" t="str">
        <f>IF(Projets!A13="","",Projets!C13)</f>
        <v/>
      </c>
      <c r="D44" s="25" t="str">
        <f>IF(Projets!A13="","",Projets!I13)</f>
        <v/>
      </c>
    </row>
    <row r="45" ht="28" customHeight="1">
      <c r="A45" s="27" t="str">
        <f>IF(Projets!A14="","",Projets!B14)</f>
        <v/>
      </c>
      <c r="B45" s="27" t="str">
        <f>IF(Projets!A14="","",Projets!G14)</f>
        <v/>
      </c>
      <c r="C45" s="27" t="str">
        <f>IF(Projets!A14="","",Projets!C14)</f>
        <v/>
      </c>
      <c r="D45" s="27" t="str">
        <f>IF(Projets!A14="","",Projets!I14)</f>
        <v/>
      </c>
    </row>
    <row r="46" ht="28" customHeight="1">
      <c r="A46" s="25" t="str">
        <f>IF(Projets!A15="","",Projets!B15)</f>
        <v/>
      </c>
      <c r="B46" s="25" t="str">
        <f>IF(Projets!A15="","",Projets!G15)</f>
        <v/>
      </c>
      <c r="C46" s="25" t="str">
        <f>IF(Projets!A15="","",Projets!C15)</f>
        <v/>
      </c>
      <c r="D46" s="25" t="str">
        <f>IF(Projets!A15="","",Projets!I15)</f>
        <v/>
      </c>
    </row>
    <row r="47" ht="28" customHeight="1">
      <c r="A47" s="27" t="str">
        <f>IF(Projets!A16="","",Projets!B16)</f>
        <v/>
      </c>
      <c r="B47" s="27" t="str">
        <f>IF(Projets!A16="","",Projets!G16)</f>
        <v/>
      </c>
      <c r="C47" s="27" t="str">
        <f>IF(Projets!A16="","",Projets!C16)</f>
        <v/>
      </c>
      <c r="D47" s="27" t="str">
        <f>IF(Projets!A16="","",Projets!I16)</f>
        <v/>
      </c>
    </row>
    <row r="48" ht="28" customHeight="1">
      <c r="A48" s="25" t="str">
        <f>IF(Projets!A17="","",Projets!B17)</f>
        <v/>
      </c>
      <c r="B48" s="25" t="str">
        <f>IF(Projets!A17="","",Projets!G17)</f>
        <v/>
      </c>
      <c r="C48" s="25" t="str">
        <f>IF(Projets!A17="","",Projets!C17)</f>
        <v/>
      </c>
      <c r="D48" s="25" t="str">
        <f>IF(Projets!A17="","",Projets!I17)</f>
        <v/>
      </c>
    </row>
    <row r="49" ht="28" customHeight="1">
      <c r="A49" s="27" t="str">
        <f>IF(Projets!A18="","",Projets!B18)</f>
        <v/>
      </c>
      <c r="B49" s="27" t="str">
        <f>IF(Projets!A18="","",Projets!G18)</f>
        <v/>
      </c>
      <c r="C49" s="27" t="str">
        <f>IF(Projets!A18="","",Projets!C18)</f>
        <v/>
      </c>
      <c r="D49" s="27" t="str">
        <f>IF(Projets!A18="","",Projets!I18)</f>
        <v/>
      </c>
    </row>
    <row r="50" ht="28" customHeight="1">
      <c r="A50" s="25" t="str">
        <f>IF(Projets!A19="","",Projets!B19)</f>
        <v/>
      </c>
      <c r="B50" s="25" t="str">
        <f>IF(Projets!A19="","",Projets!G19)</f>
        <v/>
      </c>
      <c r="C50" s="25" t="str">
        <f>IF(Projets!A19="","",Projets!C19)</f>
        <v/>
      </c>
      <c r="D50" s="25" t="str">
        <f>IF(Projets!A19="","",Projets!I19)</f>
        <v/>
      </c>
    </row>
    <row r="51" ht="28" customHeight="1">
      <c r="A51" s="27" t="str">
        <f>IF(Projets!A20="","",Projets!B20)</f>
        <v/>
      </c>
      <c r="B51" s="27" t="str">
        <f>IF(Projets!A20="","",Projets!G20)</f>
        <v/>
      </c>
      <c r="C51" s="27" t="str">
        <f>IF(Projets!A20="","",Projets!C20)</f>
        <v/>
      </c>
      <c r="D51" s="27" t="str">
        <f>IF(Projets!A20="","",Projets!I20)</f>
        <v/>
      </c>
    </row>
    <row r="52" ht="28" customHeight="1">
      <c r="A52" s="25" t="str">
        <f>IF(Projets!A21="","",Projets!B21)</f>
        <v/>
      </c>
      <c r="B52" s="25" t="str">
        <f>IF(Projets!A21="","",Projets!G21)</f>
        <v/>
      </c>
      <c r="C52" s="25" t="str">
        <f>IF(Projets!A21="","",Projets!C21)</f>
        <v/>
      </c>
      <c r="D52" s="25" t="str">
        <f>IF(Projets!A21="","",Projets!I21)</f>
        <v/>
      </c>
    </row>
    <row r="53" ht="28" customHeight="1">
      <c r="A53" s="27" t="str">
        <f>IF(Projets!A22="","",Projets!B22)</f>
        <v/>
      </c>
      <c r="B53" s="27" t="str">
        <f>IF(Projets!A22="","",Projets!G22)</f>
        <v/>
      </c>
      <c r="C53" s="27" t="str">
        <f>IF(Projets!A22="","",Projets!C22)</f>
        <v/>
      </c>
      <c r="D53" s="27" t="str">
        <f>IF(Projets!A22="","",Projets!I22)</f>
        <v/>
      </c>
    </row>
    <row r="54" ht="28" customHeight="1">
      <c r="A54" s="25" t="str">
        <f>IF(Projets!A23="","",Projets!B23)</f>
        <v/>
      </c>
      <c r="B54" s="25" t="str">
        <f>IF(Projets!A23="","",Projets!G23)</f>
        <v/>
      </c>
      <c r="C54" s="25" t="str">
        <f>IF(Projets!A23="","",Projets!C23)</f>
        <v/>
      </c>
      <c r="D54" s="25" t="str">
        <f>IF(Projets!A23="","",Projets!I23)</f>
        <v/>
      </c>
    </row>
    <row r="55" ht="28" customHeight="1">
      <c r="A55" s="27" t="str">
        <f>IF(Projets!A24="","",Projets!B24)</f>
        <v/>
      </c>
      <c r="B55" s="27" t="str">
        <f>IF(Projets!A24="","",Projets!G24)</f>
        <v/>
      </c>
      <c r="C55" s="27" t="str">
        <f>IF(Projets!A24="","",Projets!C24)</f>
        <v/>
      </c>
      <c r="D55" s="27" t="str">
        <f>IF(Projets!A24="","",Projets!I24)</f>
        <v/>
      </c>
    </row>
    <row r="56" ht="28" customHeight="1">
      <c r="A56" s="25" t="str">
        <f>IF(Projets!A25="","",Projets!B25)</f>
        <v/>
      </c>
      <c r="B56" s="25" t="str">
        <f>IF(Projets!A25="","",Projets!G25)</f>
        <v/>
      </c>
      <c r="C56" s="25" t="str">
        <f>IF(Projets!A25="","",Projets!C25)</f>
        <v/>
      </c>
      <c r="D56" s="25" t="str">
        <f>IF(Projets!A25="","",Projets!I25)</f>
        <v/>
      </c>
    </row>
    <row r="57" ht="28" customHeight="1">
      <c r="A57" s="27" t="str">
        <f>IF(Projets!A26="","",Projets!B26)</f>
        <v/>
      </c>
      <c r="B57" s="27" t="str">
        <f>IF(Projets!A26="","",Projets!G26)</f>
        <v/>
      </c>
      <c r="C57" s="27" t="str">
        <f>IF(Projets!A26="","",Projets!C26)</f>
        <v/>
      </c>
      <c r="D57" s="27" t="str">
        <f>IF(Projets!A26="","",Projets!I26)</f>
        <v/>
      </c>
    </row>
    <row r="58" ht="28" customHeight="1">
      <c r="A58" s="25" t="str">
        <f>IF(Projets!A27="","",Projets!B27)</f>
        <v/>
      </c>
      <c r="B58" s="25" t="str">
        <f>IF(Projets!A27="","",Projets!G27)</f>
        <v/>
      </c>
      <c r="C58" s="25" t="str">
        <f>IF(Projets!A27="","",Projets!C27)</f>
        <v/>
      </c>
      <c r="D58" s="25" t="str">
        <f>IF(Projets!A27="","",Projets!I27)</f>
        <v/>
      </c>
    </row>
    <row r="59" ht="28" customHeight="1">
      <c r="A59" s="27" t="str">
        <f>IF(Projets!A28="","",Projets!B28)</f>
        <v/>
      </c>
      <c r="B59" s="27" t="str">
        <f>IF(Projets!A28="","",Projets!G28)</f>
        <v/>
      </c>
      <c r="C59" s="27" t="str">
        <f>IF(Projets!A28="","",Projets!C28)</f>
        <v/>
      </c>
      <c r="D59" s="27" t="str">
        <f>IF(Projets!A28="","",Projets!I28)</f>
        <v/>
      </c>
    </row>
    <row r="60" ht="28" customHeight="1">
      <c r="A60" s="25" t="str">
        <f>IF(Projets!A29="","",Projets!B29)</f>
        <v/>
      </c>
      <c r="B60" s="25" t="str">
        <f>IF(Projets!A29="","",Projets!G29)</f>
        <v/>
      </c>
      <c r="C60" s="25" t="str">
        <f>IF(Projets!A29="","",Projets!C29)</f>
        <v/>
      </c>
      <c r="D60" s="25" t="str">
        <f>IF(Projets!A29="","",Projets!I29)</f>
        <v/>
      </c>
    </row>
    <row r="61" ht="28" customHeight="1">
      <c r="A61" s="27" t="str">
        <f>IF(Projets!A30="","",Projets!B30)</f>
        <v/>
      </c>
      <c r="B61" s="27" t="str">
        <f>IF(Projets!A30="","",Projets!G30)</f>
        <v/>
      </c>
      <c r="C61" s="27" t="str">
        <f>IF(Projets!A30="","",Projets!C30)</f>
        <v/>
      </c>
      <c r="D61" s="27" t="str">
        <f>IF(Projets!A30="","",Projets!I30)</f>
        <v/>
      </c>
    </row>
    <row r="62" ht="28" customHeight="1">
      <c r="A62" s="25" t="str">
        <f>IF(Projets!A31="","",Projets!B31)</f>
        <v/>
      </c>
      <c r="B62" s="25" t="str">
        <f>IF(Projets!A31="","",Projets!G31)</f>
        <v/>
      </c>
      <c r="C62" s="25" t="str">
        <f>IF(Projets!A31="","",Projets!C31)</f>
        <v/>
      </c>
      <c r="D62" s="25" t="str">
        <f>IF(Projets!A31="","",Projets!I31)</f>
        <v/>
      </c>
    </row>
    <row r="63" ht="28" customHeight="1">
      <c r="A63" s="27" t="str">
        <f>IF(Projets!A32="","",Projets!B32)</f>
        <v/>
      </c>
      <c r="B63" s="27" t="str">
        <f>IF(Projets!A32="","",Projets!G32)</f>
        <v/>
      </c>
      <c r="C63" s="27" t="str">
        <f>IF(Projets!A32="","",Projets!C32)</f>
        <v/>
      </c>
      <c r="D63" s="27" t="str">
        <f>IF(Projets!A32="","",Projets!I32)</f>
        <v/>
      </c>
    </row>
    <row r="64" ht="28" customHeight="1">
      <c r="A64" s="25" t="str">
        <f>IF(Projets!A33="","",Projets!B33)</f>
        <v/>
      </c>
      <c r="B64" s="25" t="str">
        <f>IF(Projets!A33="","",Projets!G33)</f>
        <v/>
      </c>
      <c r="C64" s="25" t="str">
        <f>IF(Projets!A33="","",Projets!C33)</f>
        <v/>
      </c>
      <c r="D64" s="25" t="str">
        <f>IF(Projets!A33="","",Projets!I33)</f>
        <v/>
      </c>
    </row>
    <row r="65" ht="28" customHeight="1">
      <c r="A65" s="27" t="str">
        <f>IF(Projets!A34="","",Projets!B34)</f>
        <v/>
      </c>
      <c r="B65" s="27" t="str">
        <f>IF(Projets!A34="","",Projets!G34)</f>
        <v/>
      </c>
      <c r="C65" s="27" t="str">
        <f>IF(Projets!A34="","",Projets!C34)</f>
        <v/>
      </c>
      <c r="D65" s="27" t="str">
        <f>IF(Projets!A34="","",Projets!I34)</f>
        <v/>
      </c>
    </row>
    <row r="66" ht="28" customHeight="1">
      <c r="A66" s="25" t="str">
        <f>IF(Projets!A35="","",Projets!B35)</f>
        <v/>
      </c>
      <c r="B66" s="25" t="str">
        <f>IF(Projets!A35="","",Projets!G35)</f>
        <v/>
      </c>
      <c r="C66" s="25" t="str">
        <f>IF(Projets!A35="","",Projets!C35)</f>
        <v/>
      </c>
      <c r="D66" s="25" t="str">
        <f>IF(Projets!A35="","",Projets!I35)</f>
        <v/>
      </c>
    </row>
    <row r="67" ht="28" customHeight="1">
      <c r="A67" s="27" t="str">
        <f>IF(Projets!A36="","",Projets!B36)</f>
        <v/>
      </c>
      <c r="B67" s="27" t="str">
        <f>IF(Projets!A36="","",Projets!G36)</f>
        <v/>
      </c>
      <c r="C67" s="27" t="str">
        <f>IF(Projets!A36="","",Projets!C36)</f>
        <v/>
      </c>
      <c r="D67" s="27" t="str">
        <f>IF(Projets!A36="","",Projets!I36)</f>
        <v/>
      </c>
    </row>
    <row r="68" ht="28" customHeight="1">
      <c r="A68" s="25" t="str">
        <f>IF(Projets!A37="","",Projets!B37)</f>
        <v/>
      </c>
      <c r="B68" s="25" t="str">
        <f>IF(Projets!A37="","",Projets!G37)</f>
        <v/>
      </c>
      <c r="C68" s="25" t="str">
        <f>IF(Projets!A37="","",Projets!C37)</f>
        <v/>
      </c>
      <c r="D68" s="25" t="str">
        <f>IF(Projets!A37="","",Projets!I37)</f>
        <v/>
      </c>
    </row>
    <row r="69" ht="28" customHeight="1">
      <c r="A69" s="27" t="str">
        <f>IF(Projets!A38="","",Projets!B38)</f>
        <v/>
      </c>
      <c r="B69" s="27" t="str">
        <f>IF(Projets!A38="","",Projets!G38)</f>
        <v/>
      </c>
      <c r="C69" s="27" t="str">
        <f>IF(Projets!A38="","",Projets!C38)</f>
        <v/>
      </c>
      <c r="D69" s="27" t="str">
        <f>IF(Projets!A38="","",Projets!I38)</f>
        <v/>
      </c>
    </row>
    <row r="70" ht="28" customHeight="1">
      <c r="A70" s="25" t="str">
        <f>IF(Projets!A39="","",Projets!B39)</f>
        <v/>
      </c>
      <c r="B70" s="25" t="str">
        <f>IF(Projets!A39="","",Projets!G39)</f>
        <v/>
      </c>
      <c r="C70" s="25" t="str">
        <f>IF(Projets!A39="","",Projets!C39)</f>
        <v/>
      </c>
      <c r="D70" s="25" t="str">
        <f>IF(Projets!A39="","",Projets!I39)</f>
        <v/>
      </c>
    </row>
    <row r="71" ht="28" customHeight="1">
      <c r="A71" s="27" t="str">
        <f>IF(Projets!A40="","",Projets!B40)</f>
        <v/>
      </c>
      <c r="B71" s="27" t="str">
        <f>IF(Projets!A40="","",Projets!G40)</f>
        <v/>
      </c>
      <c r="C71" s="27" t="str">
        <f>IF(Projets!A40="","",Projets!C40)</f>
        <v/>
      </c>
      <c r="D71" s="27" t="str">
        <f>IF(Projets!A40="","",Projets!I40)</f>
        <v/>
      </c>
    </row>
    <row r="72" ht="28" customHeight="1">
      <c r="A72" s="25" t="str">
        <f>IF(Projets!A41="","",Projets!B41)</f>
        <v/>
      </c>
      <c r="B72" s="25" t="str">
        <f>IF(Projets!A41="","",Projets!G41)</f>
        <v/>
      </c>
      <c r="C72" s="25" t="str">
        <f>IF(Projets!A41="","",Projets!C41)</f>
        <v/>
      </c>
      <c r="D72" s="25" t="str">
        <f>IF(Projets!A41="","",Projets!I41)</f>
        <v/>
      </c>
    </row>
    <row r="73" ht="28" customHeight="1">
      <c r="A73" s="27" t="str">
        <f>IF(Projets!A42="","",Projets!B42)</f>
        <v/>
      </c>
      <c r="B73" s="27" t="str">
        <f>IF(Projets!A42="","",Projets!G42)</f>
        <v/>
      </c>
      <c r="C73" s="27" t="str">
        <f>IF(Projets!A42="","",Projets!C42)</f>
        <v/>
      </c>
      <c r="D73" s="27" t="str">
        <f>IF(Projets!A42="","",Projets!I42)</f>
        <v/>
      </c>
    </row>
    <row r="74" ht="28" customHeight="1">
      <c r="A74" s="25" t="str">
        <f>IF(Projets!A43="","",Projets!B43)</f>
        <v/>
      </c>
      <c r="B74" s="25" t="str">
        <f>IF(Projets!A43="","",Projets!G43)</f>
        <v/>
      </c>
      <c r="C74" s="25" t="str">
        <f>IF(Projets!A43="","",Projets!C43)</f>
        <v/>
      </c>
      <c r="D74" s="25" t="str">
        <f>IF(Projets!A43="","",Projets!I43)</f>
        <v/>
      </c>
    </row>
    <row r="75" ht="28" customHeight="1">
      <c r="A75" s="27" t="str">
        <f>IF(Projets!A44="","",Projets!B44)</f>
        <v/>
      </c>
      <c r="B75" s="27" t="str">
        <f>IF(Projets!A44="","",Projets!G44)</f>
        <v/>
      </c>
      <c r="C75" s="27" t="str">
        <f>IF(Projets!A44="","",Projets!C44)</f>
        <v/>
      </c>
      <c r="D75" s="27" t="str">
        <f>IF(Projets!A44="","",Projets!I44)</f>
        <v/>
      </c>
    </row>
    <row r="76" ht="28" customHeight="1">
      <c r="A76" s="25" t="str">
        <f>IF(Projets!A45="","",Projets!B45)</f>
        <v/>
      </c>
      <c r="B76" s="25" t="str">
        <f>IF(Projets!A45="","",Projets!G45)</f>
        <v/>
      </c>
      <c r="C76" s="25" t="str">
        <f>IF(Projets!A45="","",Projets!C45)</f>
        <v/>
      </c>
      <c r="D76" s="25" t="str">
        <f>IF(Projets!A45="","",Projets!I45)</f>
        <v/>
      </c>
    </row>
    <row r="77" ht="28" customHeight="1">
      <c r="A77" s="27" t="str">
        <f>IF(Projets!A46="","",Projets!B46)</f>
        <v/>
      </c>
      <c r="B77" s="27" t="str">
        <f>IF(Projets!A46="","",Projets!G46)</f>
        <v/>
      </c>
      <c r="C77" s="27" t="str">
        <f>IF(Projets!A46="","",Projets!C46)</f>
        <v/>
      </c>
      <c r="D77" s="27" t="str">
        <f>IF(Projets!A46="","",Projets!I46)</f>
        <v/>
      </c>
    </row>
    <row r="78" ht="28" customHeight="1">
      <c r="A78" s="25" t="str">
        <f>IF(Projets!A47="","",Projets!B47)</f>
        <v/>
      </c>
      <c r="B78" s="25" t="str">
        <f>IF(Projets!A47="","",Projets!G47)</f>
        <v/>
      </c>
      <c r="C78" s="25" t="str">
        <f>IF(Projets!A47="","",Projets!C47)</f>
        <v/>
      </c>
      <c r="D78" s="25" t="str">
        <f>IF(Projets!A47="","",Projets!I47)</f>
        <v/>
      </c>
    </row>
    <row r="79" ht="28" customHeight="1">
      <c r="A79" s="27" t="str">
        <f>IF(Projets!A48="","",Projets!B48)</f>
        <v/>
      </c>
      <c r="B79" s="27" t="str">
        <f>IF(Projets!A48="","",Projets!G48)</f>
        <v/>
      </c>
      <c r="C79" s="27" t="str">
        <f>IF(Projets!A48="","",Projets!C48)</f>
        <v/>
      </c>
      <c r="D79" s="27" t="str">
        <f>IF(Projets!A48="","",Projets!I48)</f>
        <v/>
      </c>
    </row>
    <row r="80" ht="28" customHeight="1">
      <c r="A80" s="25" t="str">
        <f>IF(Projets!A49="","",Projets!B49)</f>
        <v/>
      </c>
      <c r="B80" s="25" t="str">
        <f>IF(Projets!A49="","",Projets!G49)</f>
        <v/>
      </c>
      <c r="C80" s="25" t="str">
        <f>IF(Projets!A49="","",Projets!C49)</f>
        <v/>
      </c>
      <c r="D80" s="25" t="str">
        <f>IF(Projets!A49="","",Projets!I49)</f>
        <v/>
      </c>
    </row>
    <row r="81" ht="28" customHeight="1">
      <c r="A81" s="27" t="str">
        <f>IF(Projets!A50="","",Projets!B50)</f>
        <v/>
      </c>
      <c r="B81" s="27" t="str">
        <f>IF(Projets!A50="","",Projets!G50)</f>
        <v/>
      </c>
      <c r="C81" s="27" t="str">
        <f>IF(Projets!A50="","",Projets!C50)</f>
        <v/>
      </c>
      <c r="D81" s="27" t="str">
        <f>IF(Projets!A50="","",Projets!I50)</f>
        <v/>
      </c>
    </row>
    <row r="82" ht="28" customHeight="1">
      <c r="A82" s="25" t="str">
        <f>IF(Projets!A51="","",Projets!B51)</f>
        <v/>
      </c>
      <c r="B82" s="25" t="str">
        <f>IF(Projets!A51="","",Projets!G51)</f>
        <v/>
      </c>
      <c r="C82" s="25" t="str">
        <f>IF(Projets!A51="","",Projets!C51)</f>
        <v/>
      </c>
      <c r="D82" s="25" t="str">
        <f>IF(Projets!A51="","",Projets!I51)</f>
        <v/>
      </c>
    </row>
    <row r="83" ht="28" customHeight="1">
      <c r="A83" s="27" t="str">
        <f>IF(Projets!A52="","",Projets!B52)</f>
        <v/>
      </c>
      <c r="B83" s="27" t="str">
        <f>IF(Projets!A52="","",Projets!G52)</f>
        <v/>
      </c>
      <c r="C83" s="27" t="str">
        <f>IF(Projets!A52="","",Projets!C52)</f>
        <v/>
      </c>
      <c r="D83" s="27" t="str">
        <f>IF(Projets!A52="","",Projets!I52)</f>
        <v/>
      </c>
    </row>
    <row r="84" ht="28" customHeight="1">
      <c r="A84" s="25" t="str">
        <f>IF(Projets!A53="","",Projets!B53)</f>
        <v/>
      </c>
      <c r="B84" s="25" t="str">
        <f>IF(Projets!A53="","",Projets!G53)</f>
        <v/>
      </c>
      <c r="C84" s="25" t="str">
        <f>IF(Projets!A53="","",Projets!C53)</f>
        <v/>
      </c>
      <c r="D84" s="25" t="str">
        <f>IF(Projets!A53="","",Projets!I53)</f>
        <v/>
      </c>
    </row>
    <row r="85" ht="28" customHeight="1">
      <c r="A85" s="27" t="str">
        <f>IF(Projets!A54="","",Projets!B54)</f>
        <v/>
      </c>
      <c r="B85" s="27" t="str">
        <f>IF(Projets!A54="","",Projets!G54)</f>
        <v/>
      </c>
      <c r="C85" s="27" t="str">
        <f>IF(Projets!A54="","",Projets!C54)</f>
        <v/>
      </c>
      <c r="D85" s="27" t="str">
        <f>IF(Projets!A54="","",Projets!I54)</f>
        <v/>
      </c>
    </row>
    <row r="86" ht="28" customHeight="1">
      <c r="A86" s="25" t="str">
        <f>IF(Projets!A55="","",Projets!B55)</f>
        <v/>
      </c>
      <c r="B86" s="25" t="str">
        <f>IF(Projets!A55="","",Projets!G55)</f>
        <v/>
      </c>
      <c r="C86" s="25" t="str">
        <f>IF(Projets!A55="","",Projets!C55)</f>
        <v/>
      </c>
      <c r="D86" s="25" t="str">
        <f>IF(Projets!A55="","",Projets!I55)</f>
        <v/>
      </c>
    </row>
    <row r="87" ht="28" customHeight="1">
      <c r="A87" s="27" t="str">
        <f>IF(Projets!A56="","",Projets!B56)</f>
        <v/>
      </c>
      <c r="B87" s="27" t="str">
        <f>IF(Projets!A56="","",Projets!G56)</f>
        <v/>
      </c>
      <c r="C87" s="27" t="str">
        <f>IF(Projets!A56="","",Projets!C56)</f>
        <v/>
      </c>
      <c r="D87" s="27" t="str">
        <f>IF(Projets!A56="","",Projets!I56)</f>
        <v/>
      </c>
    </row>
    <row r="88" ht="28" customHeight="1">
      <c r="A88" s="25" t="str">
        <f>IF(Projets!A57="","",Projets!B57)</f>
        <v/>
      </c>
      <c r="B88" s="25" t="str">
        <f>IF(Projets!A57="","",Projets!G57)</f>
        <v/>
      </c>
      <c r="C88" s="25" t="str">
        <f>IF(Projets!A57="","",Projets!C57)</f>
        <v/>
      </c>
      <c r="D88" s="25" t="str">
        <f>IF(Projets!A57="","",Projets!I57)</f>
        <v/>
      </c>
    </row>
    <row r="89" ht="28" customHeight="1">
      <c r="A89" s="27" t="str">
        <f>IF(Projets!A58="","",Projets!B58)</f>
        <v/>
      </c>
      <c r="B89" s="27" t="str">
        <f>IF(Projets!A58="","",Projets!G58)</f>
        <v/>
      </c>
      <c r="C89" s="27" t="str">
        <f>IF(Projets!A58="","",Projets!C58)</f>
        <v/>
      </c>
      <c r="D89" s="27" t="str">
        <f>IF(Projets!A58="","",Projets!I58)</f>
        <v/>
      </c>
    </row>
    <row r="90" ht="28" customHeight="1">
      <c r="A90" s="25" t="str">
        <f>IF(Projets!A59="","",Projets!B59)</f>
        <v/>
      </c>
      <c r="B90" s="25" t="str">
        <f>IF(Projets!A59="","",Projets!G59)</f>
        <v/>
      </c>
      <c r="C90" s="25" t="str">
        <f>IF(Projets!A59="","",Projets!C59)</f>
        <v/>
      </c>
      <c r="D90" s="25" t="str">
        <f>IF(Projets!A59="","",Projets!I59)</f>
        <v/>
      </c>
    </row>
    <row r="91" ht="28" customHeight="1">
      <c r="A91" s="27" t="str">
        <f>IF(Projets!A60="","",Projets!B60)</f>
        <v/>
      </c>
      <c r="B91" s="27" t="str">
        <f>IF(Projets!A60="","",Projets!G60)</f>
        <v/>
      </c>
      <c r="C91" s="27" t="str">
        <f>IF(Projets!A60="","",Projets!C60)</f>
        <v/>
      </c>
      <c r="D91" s="27" t="str">
        <f>IF(Projets!A60="","",Projets!I60)</f>
        <v/>
      </c>
    </row>
    <row r="92" ht="28" customHeight="1">
      <c r="A92" s="25" t="str">
        <f>IF(Projets!A61="","",Projets!B61)</f>
        <v/>
      </c>
      <c r="B92" s="25" t="str">
        <f>IF(Projets!A61="","",Projets!G61)</f>
        <v/>
      </c>
      <c r="C92" s="25" t="str">
        <f>IF(Projets!A61="","",Projets!C61)</f>
        <v/>
      </c>
      <c r="D92" s="25" t="str">
        <f>IF(Projets!A61="","",Projets!I61)</f>
        <v/>
      </c>
    </row>
    <row r="93" ht="28" customHeight="1">
      <c r="A93" s="27" t="str">
        <f>IF(Projets!A62="","",Projets!B62)</f>
        <v/>
      </c>
      <c r="B93" s="27" t="str">
        <f>IF(Projets!A62="","",Projets!G62)</f>
        <v/>
      </c>
      <c r="C93" s="27" t="str">
        <f>IF(Projets!A62="","",Projets!C62)</f>
        <v/>
      </c>
      <c r="D93" s="27" t="str">
        <f>IF(Projets!A62="","",Projets!I62)</f>
        <v/>
      </c>
    </row>
    <row r="94" ht="28" customHeight="1">
      <c r="A94" s="25" t="str">
        <f>IF(Projets!A63="","",Projets!B63)</f>
        <v/>
      </c>
      <c r="B94" s="25" t="str">
        <f>IF(Projets!A63="","",Projets!G63)</f>
        <v/>
      </c>
      <c r="C94" s="25" t="str">
        <f>IF(Projets!A63="","",Projets!C63)</f>
        <v/>
      </c>
      <c r="D94" s="25" t="str">
        <f>IF(Projets!A63="","",Projets!I63)</f>
        <v/>
      </c>
    </row>
    <row r="95" ht="28" customHeight="1">
      <c r="A95" s="27" t="str">
        <f>IF(Projets!A64="","",Projets!B64)</f>
        <v/>
      </c>
      <c r="B95" s="27" t="str">
        <f>IF(Projets!A64="","",Projets!G64)</f>
        <v/>
      </c>
      <c r="C95" s="27" t="str">
        <f>IF(Projets!A64="","",Projets!C64)</f>
        <v/>
      </c>
      <c r="D95" s="27" t="str">
        <f>IF(Projets!A64="","",Projets!I64)</f>
        <v/>
      </c>
    </row>
    <row r="96" ht="28" customHeight="1">
      <c r="A96" s="25" t="str">
        <f>IF(Projets!A65="","",Projets!B65)</f>
        <v/>
      </c>
      <c r="B96" s="25" t="str">
        <f>IF(Projets!A65="","",Projets!G65)</f>
        <v/>
      </c>
      <c r="C96" s="25" t="str">
        <f>IF(Projets!A65="","",Projets!C65)</f>
        <v/>
      </c>
      <c r="D96" s="25" t="str">
        <f>IF(Projets!A65="","",Projets!I65)</f>
        <v/>
      </c>
    </row>
    <row r="97" ht="28" customHeight="1">
      <c r="A97" s="27" t="str">
        <f>IF(Projets!A66="","",Projets!B66)</f>
        <v/>
      </c>
      <c r="B97" s="27" t="str">
        <f>IF(Projets!A66="","",Projets!G66)</f>
        <v/>
      </c>
      <c r="C97" s="27" t="str">
        <f>IF(Projets!A66="","",Projets!C66)</f>
        <v/>
      </c>
      <c r="D97" s="27" t="str">
        <f>IF(Projets!A66="","",Projets!I66)</f>
        <v/>
      </c>
    </row>
    <row r="98" ht="28" customHeight="1">
      <c r="A98" s="25" t="str">
        <f>IF(Projets!A67="","",Projets!B67)</f>
        <v/>
      </c>
      <c r="B98" s="25" t="str">
        <f>IF(Projets!A67="","",Projets!G67)</f>
        <v/>
      </c>
      <c r="C98" s="25" t="str">
        <f>IF(Projets!A67="","",Projets!C67)</f>
        <v/>
      </c>
      <c r="D98" s="25" t="str">
        <f>IF(Projets!A67="","",Projets!I67)</f>
        <v/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21">
    <mergeCell ref="A4:L5"/>
    <mergeCell ref="A10:C11"/>
    <mergeCell ref="A19:C20"/>
    <mergeCell ref="A35:L36"/>
    <mergeCell ref="A28:C29"/>
    <mergeCell ref="D13:L15"/>
    <mergeCell ref="D16:L18"/>
    <mergeCell ref="D32:L34"/>
    <mergeCell ref="D7:L9"/>
    <mergeCell ref="A1:L2"/>
    <mergeCell ref="D28:L30"/>
    <mergeCell ref="A7:C8"/>
    <mergeCell ref="D25:L27"/>
    <mergeCell ref="A16:C17"/>
    <mergeCell ref="A25:C26"/>
    <mergeCell ref="D10:L12"/>
    <mergeCell ref="D19:L21"/>
    <mergeCell ref="A32:C33"/>
    <mergeCell ref="A22:C23"/>
    <mergeCell ref="D22:L24"/>
    <mergeCell ref="A13:C14"/>
  </mergeCells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61728C"/>
    <outlinePr summaryBelow="1" summaryRight="0"/>
    <pageSetUpPr fitToPage="1"/>
  </sheetPr>
  <dimension ref="A1:L17"/>
  <sheetViews>
    <sheetView showGridLines="0" zoomScale="9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5" customHeight="1">
      <c r="A1" s="1" t="inlineStr">
        <is>
          <t>09 / Vérifier avant de décider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ACCUEIL</t>
        </is>
      </c>
      <c r="C3" s="3" t="inlineStr">
        <is>
          <t>SYNTHÈSE</t>
        </is>
      </c>
      <c r="F3" s="3" t="inlineStr">
        <is>
          <t>SCÉNARIOS</t>
        </is>
      </c>
      <c r="I3" s="3" t="inlineStr">
        <is>
          <t>RESTITUTION</t>
        </is>
      </c>
    </row>
    <row r="4" ht="22" customHeight="1">
      <c r="A4" s="4" t="inlineStr">
        <is>
          <t>Les contrôles protègent la lecture des résultats. Corrigez les lignes signalées ; une donnée non reconnue ne doit jamais devenir un zéro rassurant.</t>
        </is>
      </c>
    </row>
    <row r="5" ht="20" customHeight="1"/>
    <row r="7" ht="36" customHeight="1">
      <c r="A7" s="23" t="inlineStr">
        <is>
          <t>Contrôle</t>
        </is>
      </c>
      <c r="B7" s="23" t="inlineStr">
        <is>
          <t>Nombre</t>
        </is>
      </c>
      <c r="C7" s="23" t="inlineStr">
        <is>
          <t>Action à effectuer</t>
        </is>
      </c>
    </row>
    <row r="8" ht="34" customHeight="1">
      <c r="A8" s="25" t="inlineStr">
        <is>
          <t>Personnes</t>
        </is>
      </c>
      <c r="B8" s="25" t="n">
        <f>IFERROR(COUNTIF(Personnes!I8:I47,"À corriger"),1)</f>
        <v>0</v>
      </c>
      <c r="C8" s="9" t="inlineStr">
        <is>
          <t>Noms, IDs, équipe, capacités positives et déductions cohérentes.</t>
        </is>
      </c>
    </row>
    <row r="9" ht="34" customHeight="1">
      <c r="A9" s="27" t="inlineStr">
        <is>
          <t>Projets</t>
        </is>
      </c>
      <c r="B9" s="27" t="n">
        <f>IFERROR(COUNTIF(Projets!J8:J67,"?*")-COUNTIF(Projets!J8:J67,"OK"),1)</f>
        <v>0</v>
      </c>
      <c r="C9" s="9" t="inlineStr">
        <is>
          <t>IDs, noms, options A/B et au moins une ligne de charge renseignés.</t>
        </is>
      </c>
    </row>
    <row r="10" ht="34" customHeight="1">
      <c r="A10" s="25" t="inlineStr">
        <is>
          <t>Charges</t>
        </is>
      </c>
      <c r="B10" s="25" t="n">
        <f>IFERROR(COUNTIF(Charges!E8:E247,"?*")-COUNTIF(Charges!E8:E247,"OK"),1)</f>
        <v>0</v>
      </c>
      <c r="C10" s="9" t="inlineStr">
        <is>
          <t>Identités, jours / tailles, et dates dans la période.</t>
        </is>
      </c>
    </row>
    <row r="11" ht="34" customHeight="1">
      <c r="A11" s="27" t="inlineStr">
        <is>
          <t>Dépendances</t>
        </is>
      </c>
      <c r="B11" s="27" t="n">
        <f>IFERROR(COUNTIF(Dépendances!H8:H67,"À corriger"),1)</f>
        <v>0</v>
      </c>
      <c r="C11" s="9" t="inlineStr">
        <is>
          <t>Deux projets distincts connus, date, responsable et état.</t>
        </is>
      </c>
    </row>
    <row r="12" ht="34" customHeight="1">
      <c r="A12" s="25" t="inlineStr">
        <is>
          <t>Équipes</t>
        </is>
      </c>
      <c r="B12" s="25" t="n">
        <f>IFERROR(SUMPRODUCT((Paramètres!F8:F27&lt;&gt;"")*(COUNTIF(Paramètres!F8:F27,Paramètres!F8:F27)&gt;1)),1)</f>
        <v>0</v>
      </c>
      <c r="C12" s="9" t="inlineStr">
        <is>
          <t>Noms uniques dans Paramètres.</t>
        </is>
      </c>
    </row>
    <row r="13" ht="34" customHeight="1">
      <c r="A13" s="27" t="inlineStr">
        <is>
          <t>Période / barème</t>
        </is>
      </c>
      <c r="B13" s="27" t="n">
        <f>IFERROR(IF(AND(ISNUMBER(Paramètres!B8),WEEKDAY(Paramètres!B8,2)=1,ISNUMBER(Paramètres!B9),Paramètres!B9=INT(Paramètres!B9),Paramètres!B9&gt;=1,Paramètres!B9&lt;=13,OR(Paramètres!B10="Tous",Paramètres!B10="A",Paramètres!B10="B"),COUNT(Paramètres!B15:B18)=4,MIN(Paramètres!B15:B18)&gt;=0),0,1),1)</f>
        <v>0</v>
      </c>
      <c r="C13" s="9" t="inlineStr">
        <is>
          <t>Départ lundi, période entière 1–13, scénario et barème valides.</t>
        </is>
      </c>
    </row>
    <row r="14" ht="34" customHeight="1">
      <c r="A14" s="25" t="inlineStr">
        <is>
          <t>Variations capacité</t>
        </is>
      </c>
      <c r="B14" s="25" t="n">
        <f>IFERROR(SUMPRODUCT((Capacité!C8:O47&lt;&gt;"")*(ISNUMBER(Capacité!C8:O47)=FALSE))+COUNTIF(Capacité!C8:O47,"&lt;0"),1)</f>
        <v>0</v>
      </c>
      <c r="C14" s="9" t="inlineStr">
        <is>
          <t>Nombre positif ou nul ; vide reprend la capacité par défaut.</t>
        </is>
      </c>
    </row>
    <row r="17" ht="28" customHeight="1">
      <c r="A17" s="19" t="inlineStr">
        <is>
          <t>TOTAL À CORRIGER</t>
        </is>
      </c>
      <c r="B17" s="27" t="n">
        <f>SUM(B8:B14)</f>
        <v>0</v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9">
    <mergeCell ref="C14:L14"/>
    <mergeCell ref="A4:L5"/>
    <mergeCell ref="C13:L13"/>
    <mergeCell ref="C8:L8"/>
    <mergeCell ref="C9:L9"/>
    <mergeCell ref="A1:L2"/>
    <mergeCell ref="C12:L12"/>
    <mergeCell ref="C10:L10"/>
    <mergeCell ref="C11:L11"/>
  </mergeCells>
  <conditionalFormatting sqref="B8:B17">
    <cfRule type="cellIs" priority="1" operator="greaterThan" dxfId="0">
      <formula>0</formula>
    </cfRule>
  </conditionalFormatting>
  <hyperlinks>
    <hyperlink ref="A3" location="'Accueil'!A1" display="ACCUEIL"/>
    <hyperlink ref="C3" location="'Synthèse'!A1" display="SYNTHÈSE"/>
    <hyperlink ref="F3" location="'Scénarios'!A1" display="SCÉNARIOS"/>
    <hyperlink ref="I3" location="'Restitution'!A1" display="RESTITUTION"/>
  </hyperlinks>
  <printOptions horizontalCentered="1"/>
  <pageMargins left="0.75" right="0.75" top="1" bottom="1" header="0.5" footer="0.5"/>
  <pageSetup orientation="landscape" paperSize="8" fitToHeight="1" fitToWidth="1"/>
  <headerFooter>
    <oddHeader/>
    <oddFooter>&amp;CAirSaas • 06/10/2026 • À remplir&amp;RPage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8:DN247"/>
  <sheetViews>
    <sheetView workbookViewId="0">
      <selection activeCell="A1" sqref="A1"/>
    </sheetView>
  </sheetViews>
  <sheetFormatPr baseColWidth="8" defaultRowHeight="15"/>
  <sheetData>
    <row r="8">
      <c r="A8" t="n">
        <f>Charges!A8</f>
        <v>0</v>
      </c>
      <c r="B8" t="n">
        <f>Charges!C8</f>
        <v>0</v>
      </c>
      <c r="C8" t="str">
        <f>Charges!D8</f>
        <v/>
      </c>
      <c r="E8" t="n">
        <f>IF(1&lt;=Paramètres!$B$9,MAX(0,IFERROR(N(IF(ISNUMBER(Charges!F8),MAX(0,Charges!F8),IFERROR(VLOOKUP(Charges!F8,Paramètres!$A$15:$B$18,2,FALSE),0))),0)),0)</f>
        <v>0</v>
      </c>
      <c r="F8" t="n">
        <f>IF(2&lt;=Paramètres!$B$9,MAX(0,IFERROR(N(IF(ISNUMBER(Charges!G8),MAX(0,Charges!G8),IFERROR(VLOOKUP(Charges!G8,Paramètres!$A$15:$B$18,2,FALSE),0))),0)),0)</f>
        <v>0</v>
      </c>
      <c r="G8" t="n">
        <f>IF(3&lt;=Paramètres!$B$9,MAX(0,IFERROR(N(IF(ISNUMBER(Charges!H8),MAX(0,Charges!H8),IFERROR(VLOOKUP(Charges!H8,Paramètres!$A$15:$B$18,2,FALSE),0))),0)),0)</f>
        <v>0</v>
      </c>
      <c r="H8" t="n">
        <f>IF(4&lt;=Paramètres!$B$9,MAX(0,IFERROR(N(IF(ISNUMBER(Charges!I8),MAX(0,Charges!I8),IFERROR(VLOOKUP(Charges!I8,Paramètres!$A$15:$B$18,2,FALSE),0))),0)),0)</f>
        <v>0</v>
      </c>
      <c r="I8" t="n">
        <f>IF(5&lt;=Paramètres!$B$9,MAX(0,IFERROR(N(IF(ISNUMBER(Charges!J8),MAX(0,Charges!J8),IFERROR(VLOOKUP(Charges!J8,Paramètres!$A$15:$B$18,2,FALSE),0))),0)),0)</f>
        <v>0</v>
      </c>
      <c r="J8" t="n">
        <f>IF(6&lt;=Paramètres!$B$9,MAX(0,IFERROR(N(IF(ISNUMBER(Charges!K8),MAX(0,Charges!K8),IFERROR(VLOOKUP(Charges!K8,Paramètres!$A$15:$B$18,2,FALSE),0))),0)),0)</f>
        <v>0</v>
      </c>
      <c r="K8" t="n">
        <f>IF(7&lt;=Paramètres!$B$9,MAX(0,IFERROR(N(IF(ISNUMBER(Charges!L8),MAX(0,Charges!L8),IFERROR(VLOOKUP(Charges!L8,Paramètres!$A$15:$B$18,2,FALSE),0))),0)),0)</f>
        <v>0</v>
      </c>
      <c r="L8" t="n">
        <f>IF(8&lt;=Paramètres!$B$9,MAX(0,IFERROR(N(IF(ISNUMBER(Charges!M8),MAX(0,Charges!M8),IFERROR(VLOOKUP(Charges!M8,Paramètres!$A$15:$B$18,2,FALSE),0))),0)),0)</f>
        <v>0</v>
      </c>
      <c r="M8" t="n">
        <f>IF(9&lt;=Paramètres!$B$9,MAX(0,IFERROR(N(IF(ISNUMBER(Charges!N8),MAX(0,Charges!N8),IFERROR(VLOOKUP(Charges!N8,Paramètres!$A$15:$B$18,2,FALSE),0))),0)),0)</f>
        <v>0</v>
      </c>
      <c r="N8" t="n">
        <f>IF(10&lt;=Paramètres!$B$9,MAX(0,IFERROR(N(IF(ISNUMBER(Charges!O8),MAX(0,Charges!O8),IFERROR(VLOOKUP(Charges!O8,Paramètres!$A$15:$B$18,2,FALSE),0))),0)),0)</f>
        <v>0</v>
      </c>
      <c r="O8" t="n">
        <f>IF(11&lt;=Paramètres!$B$9,MAX(0,IFERROR(N(IF(ISNUMBER(Charges!P8),MAX(0,Charges!P8),IFERROR(VLOOKUP(Charges!P8,Paramètres!$A$15:$B$18,2,FALSE),0))),0)),0)</f>
        <v>0</v>
      </c>
      <c r="P8" t="n">
        <f>IF(12&lt;=Paramètres!$B$9,MAX(0,IFERROR(N(IF(ISNUMBER(Charges!Q8),MAX(0,Charges!Q8),IFERROR(VLOOKUP(Charges!Q8,Paramètres!$A$15:$B$18,2,FALSE),0))),0)),0)</f>
        <v>0</v>
      </c>
      <c r="Q8" t="n">
        <f>IF(13&lt;=Paramètres!$B$9,MAX(0,IFERROR(N(IF(ISNUMBER(Charges!R8),MAX(0,Charges!R8),IFERROR(VLOOKUP(Charges!R8,Paramètres!$A$15:$B$18,2,FALSE),0))),0)),0)</f>
        <v>0</v>
      </c>
      <c r="R8" t="n">
        <f>SUM(E8:Q8)</f>
        <v>0</v>
      </c>
      <c r="S8" t="n">
        <f>IF(IFERROR(VLOOKUP(A8,'Projets'!$A$8:$Z$67,7,FALSE),"")="Engager",1,0)</f>
        <v>0</v>
      </c>
      <c r="T8" t="n">
        <f>IF(OR(Charges!F8="",AND(ISNUMBER(Charges!F8),Charges!F8&gt;=0),Charges!F8="S",Charges!F8="M",Charges!F8="L",Charges!F8="XL"),0,1)+IF(OR(Charges!G8="",AND(ISNUMBER(Charges!G8),Charges!G8&gt;=0),Charges!G8="S",Charges!G8="M",Charges!G8="L",Charges!G8="XL"),0,1)+IF(OR(Charges!H8="",AND(ISNUMBER(Charges!H8),Charges!H8&gt;=0),Charges!H8="S",Charges!H8="M",Charges!H8="L",Charges!H8="XL"),0,1)+IF(OR(Charges!I8="",AND(ISNUMBER(Charges!I8),Charges!I8&gt;=0),Charges!I8="S",Charges!I8="M",Charges!I8="L",Charges!I8="XL"),0,1)+IF(OR(Charges!J8="",AND(ISNUMBER(Charges!J8),Charges!J8&gt;=0),Charges!J8="S",Charges!J8="M",Charges!J8="L",Charges!J8="XL"),0,1)+IF(OR(Charges!K8="",AND(ISNUMBER(Charges!K8),Charges!K8&gt;=0),Charges!K8="S",Charges!K8="M",Charges!K8="L",Charges!K8="XL"),0,1)+IF(OR(Charges!L8="",AND(ISNUMBER(Charges!L8),Charges!L8&gt;=0),Charges!L8="S",Charges!L8="M",Charges!L8="L",Charges!L8="XL"),0,1)+IF(OR(Charges!M8="",AND(ISNUMBER(Charges!M8),Charges!M8&gt;=0),Charges!M8="S",Charges!M8="M",Charges!M8="L",Charges!M8="XL"),0,1)+IF(OR(Charges!N8="",AND(ISNUMBER(Charges!N8),Charges!N8&gt;=0),Charges!N8="S",Charges!N8="M",Charges!N8="L",Charges!N8="XL"),0,1)+IF(OR(Charges!O8="",AND(ISNUMBER(Charges!O8),Charges!O8&gt;=0),Charges!O8="S",Charges!O8="M",Charges!O8="L",Charges!O8="XL"),0,1)+IF(OR(Charges!P8="",AND(ISNUMBER(Charges!P8),Charges!P8&gt;=0),Charges!P8="S",Charges!P8="M",Charges!P8="L",Charges!P8="XL"),0,1)+IF(OR(Charges!Q8="",AND(ISNUMBER(Charges!Q8),Charges!Q8&gt;=0),Charges!Q8="S",Charges!Q8="M",Charges!Q8="L",Charges!Q8="XL"),0,1)+IF(OR(Charges!R8="",AND(ISNUMBER(Charges!R8),Charges!R8&gt;=0),Charges!R8="S",Charges!R8="M",Charges!R8="L",Charges!R8="XL"),0,1)</f>
        <v>0</v>
      </c>
      <c r="U8" t="n">
        <f>IF(AND(1&gt;Paramètres!$B$9,Charges!F8&lt;&gt;"",Charges!F8&lt;&gt;0),1,0)+IF(AND(2&gt;Paramètres!$B$9,Charges!G8&lt;&gt;"",Charges!G8&lt;&gt;0),1,0)+IF(AND(3&gt;Paramètres!$B$9,Charges!H8&lt;&gt;"",Charges!H8&lt;&gt;0),1,0)+IF(AND(4&gt;Paramètres!$B$9,Charges!I8&lt;&gt;"",Charges!I8&lt;&gt;0),1,0)+IF(AND(5&gt;Paramètres!$B$9,Charges!J8&lt;&gt;"",Charges!J8&lt;&gt;0),1,0)+IF(AND(6&gt;Paramètres!$B$9,Charges!K8&lt;&gt;"",Charges!K8&lt;&gt;0),1,0)+IF(AND(7&gt;Paramètres!$B$9,Charges!L8&lt;&gt;"",Charges!L8&lt;&gt;0),1,0)+IF(AND(8&gt;Paramètres!$B$9,Charges!M8&lt;&gt;"",Charges!M8&lt;&gt;0),1,0)+IF(AND(9&gt;Paramètres!$B$9,Charges!N8&lt;&gt;"",Charges!N8&lt;&gt;0),1,0)+IF(AND(10&gt;Paramètres!$B$9,Charges!O8&lt;&gt;"",Charges!O8&lt;&gt;0),1,0)+IF(AND(11&gt;Paramètres!$B$9,Charges!P8&lt;&gt;"",Charges!P8&lt;&gt;0),1,0)+IF(AND(12&gt;Paramètres!$B$9,Charges!Q8&lt;&gt;"",Charges!Q8&lt;&gt;0),1,0)+IF(AND(13&gt;Paramètres!$B$9,Charges!R8&lt;&gt;"",Charges!R8&lt;&gt;0),1,0)</f>
        <v>0</v>
      </c>
      <c r="V8" t="n">
        <f>IF(IFERROR(VLOOKUP(A8,'Projets'!$A$8:$Z$67,5,FALSE),"")="Engager",1,0)</f>
        <v>0</v>
      </c>
      <c r="W8" t="n">
        <f>IF(IFERROR(VLOOKUP(A8,'Projets'!$A$8:$Z$67,6,FALSE),"")="Engager",1,0)</f>
        <v>0</v>
      </c>
      <c r="X8" t="n">
        <f>E8*S8</f>
        <v>0</v>
      </c>
      <c r="Y8" t="n">
        <f>F8*S8</f>
        <v>0</v>
      </c>
      <c r="Z8" t="n">
        <f>G8*S8</f>
        <v>0</v>
      </c>
      <c r="AA8" t="n">
        <f>H8*S8</f>
        <v>0</v>
      </c>
      <c r="AB8" t="n">
        <f>I8*S8</f>
        <v>0</v>
      </c>
      <c r="AC8" t="n">
        <f>J8*S8</f>
        <v>0</v>
      </c>
      <c r="AD8" t="n">
        <f>K8*S8</f>
        <v>0</v>
      </c>
      <c r="AE8" t="n">
        <f>L8*S8</f>
        <v>0</v>
      </c>
      <c r="AF8" t="n">
        <f>M8*S8</f>
        <v>0</v>
      </c>
      <c r="AG8" t="n">
        <f>N8*S8</f>
        <v>0</v>
      </c>
      <c r="AH8" t="n">
        <f>O8*S8</f>
        <v>0</v>
      </c>
      <c r="AI8" t="n">
        <f>P8*S8</f>
        <v>0</v>
      </c>
      <c r="AJ8" t="n">
        <f>Q8*S8</f>
        <v>0</v>
      </c>
      <c r="AK8" t="n">
        <f>E8*V8</f>
        <v>0</v>
      </c>
      <c r="AL8" t="n">
        <f>F8*V8</f>
        <v>0</v>
      </c>
      <c r="AM8" t="n">
        <f>G8*V8</f>
        <v>0</v>
      </c>
      <c r="AN8" t="n">
        <f>H8*V8</f>
        <v>0</v>
      </c>
      <c r="AO8" t="n">
        <f>I8*V8</f>
        <v>0</v>
      </c>
      <c r="AP8" t="n">
        <f>J8*V8</f>
        <v>0</v>
      </c>
      <c r="AQ8" t="n">
        <f>K8*V8</f>
        <v>0</v>
      </c>
      <c r="AR8" t="n">
        <f>L8*V8</f>
        <v>0</v>
      </c>
      <c r="AS8" t="n">
        <f>M8*V8</f>
        <v>0</v>
      </c>
      <c r="AT8" t="n">
        <f>N8*V8</f>
        <v>0</v>
      </c>
      <c r="AU8" t="n">
        <f>O8*V8</f>
        <v>0</v>
      </c>
      <c r="AV8" t="n">
        <f>P8*V8</f>
        <v>0</v>
      </c>
      <c r="AW8" t="n">
        <f>Q8*V8</f>
        <v>0</v>
      </c>
      <c r="AX8" t="n">
        <f>E8*W8</f>
        <v>0</v>
      </c>
      <c r="AY8" t="n">
        <f>F8*W8</f>
        <v>0</v>
      </c>
      <c r="AZ8" t="n">
        <f>G8*W8</f>
        <v>0</v>
      </c>
      <c r="BA8" t="n">
        <f>H8*W8</f>
        <v>0</v>
      </c>
      <c r="BB8" t="n">
        <f>I8*W8</f>
        <v>0</v>
      </c>
      <c r="BC8" t="n">
        <f>J8*W8</f>
        <v>0</v>
      </c>
      <c r="BD8" t="n">
        <f>K8*W8</f>
        <v>0</v>
      </c>
      <c r="BE8" t="n">
        <f>L8*W8</f>
        <v>0</v>
      </c>
      <c r="BF8" t="n">
        <f>M8*W8</f>
        <v>0</v>
      </c>
      <c r="BG8" t="n">
        <f>N8*W8</f>
        <v>0</v>
      </c>
      <c r="BH8" t="n">
        <f>O8*W8</f>
        <v>0</v>
      </c>
      <c r="BI8" t="n">
        <f>P8*W8</f>
        <v>0</v>
      </c>
      <c r="BJ8" t="n">
        <f>Q8*W8</f>
        <v>0</v>
      </c>
      <c r="BM8" t="n">
        <f>IF(OR(Personnes!$A8="",1&gt;Paramètres!$B$9),0,MAX(0,SUMIF($B$8:$B$247,Personnes!$A8,$E$8:$E$247)-'Planning par personne'!C8))</f>
        <v>0</v>
      </c>
      <c r="BN8" t="n">
        <f>IF(OR(Personnes!$A8="",2&gt;Paramètres!$B$9),0,MAX(0,SUMIF($B$8:$B$247,Personnes!$A8,$F$8:$F$247)-'Planning par personne'!D8))</f>
        <v>0</v>
      </c>
      <c r="BO8" t="n">
        <f>IF(OR(Personnes!$A8="",3&gt;Paramètres!$B$9),0,MAX(0,SUMIF($B$8:$B$247,Personnes!$A8,$G$8:$G$247)-'Planning par personne'!E8))</f>
        <v>0</v>
      </c>
      <c r="BP8" t="n">
        <f>IF(OR(Personnes!$A8="",4&gt;Paramètres!$B$9),0,MAX(0,SUMIF($B$8:$B$247,Personnes!$A8,$H$8:$H$247)-'Planning par personne'!F8))</f>
        <v>0</v>
      </c>
      <c r="BQ8" t="n">
        <f>IF(OR(Personnes!$A8="",5&gt;Paramètres!$B$9),0,MAX(0,SUMIF($B$8:$B$247,Personnes!$A8,$I$8:$I$247)-'Planning par personne'!G8))</f>
        <v>0</v>
      </c>
      <c r="BR8" t="n">
        <f>IF(OR(Personnes!$A8="",6&gt;Paramètres!$B$9),0,MAX(0,SUMIF($B$8:$B$247,Personnes!$A8,$J$8:$J$247)-'Planning par personne'!H8))</f>
        <v>0</v>
      </c>
      <c r="BS8" t="n">
        <f>IF(OR(Personnes!$A8="",7&gt;Paramètres!$B$9),0,MAX(0,SUMIF($B$8:$B$247,Personnes!$A8,$K$8:$K$247)-'Planning par personne'!I8))</f>
        <v>0</v>
      </c>
      <c r="BT8" t="n">
        <f>IF(OR(Personnes!$A8="",8&gt;Paramètres!$B$9),0,MAX(0,SUMIF($B$8:$B$247,Personnes!$A8,$L$8:$L$247)-'Planning par personne'!J8))</f>
        <v>0</v>
      </c>
      <c r="BU8" t="n">
        <f>IF(OR(Personnes!$A8="",9&gt;Paramètres!$B$9),0,MAX(0,SUMIF($B$8:$B$247,Personnes!$A8,$M$8:$M$247)-'Planning par personne'!K8))</f>
        <v>0</v>
      </c>
      <c r="BV8" t="n">
        <f>IF(OR(Personnes!$A8="",10&gt;Paramètres!$B$9),0,MAX(0,SUMIF($B$8:$B$247,Personnes!$A8,$N$8:$N$247)-'Planning par personne'!L8))</f>
        <v>0</v>
      </c>
      <c r="BW8" t="n">
        <f>IF(OR(Personnes!$A8="",11&gt;Paramètres!$B$9),0,MAX(0,SUMIF($B$8:$B$247,Personnes!$A8,$O$8:$O$247)-'Planning par personne'!M8))</f>
        <v>0</v>
      </c>
      <c r="BX8" t="n">
        <f>IF(OR(Personnes!$A8="",12&gt;Paramètres!$B$9),0,MAX(0,SUMIF($B$8:$B$247,Personnes!$A8,$P$8:$P$247)-'Planning par personne'!N8))</f>
        <v>0</v>
      </c>
      <c r="BY8" t="n">
        <f>IF(OR(Personnes!$A8="",13&gt;Paramètres!$B$9),0,MAX(0,SUMIF($B$8:$B$247,Personnes!$A8,$Q$8:$Q$247)-'Planning par personne'!O8))</f>
        <v>0</v>
      </c>
      <c r="BZ8" t="n">
        <f>IF(OR(Personnes!$A8="",1&gt;Paramètres!$B$9),0,MAX(0,SUMIF($B$8:$B$247,Personnes!$A8,$AK$8:$AK$247)-'Planning par personne'!C8))</f>
        <v>0</v>
      </c>
      <c r="CA8" t="n">
        <f>IF(OR(Personnes!$A8="",2&gt;Paramètres!$B$9),0,MAX(0,SUMIF($B$8:$B$247,Personnes!$A8,$AL$8:$AL$247)-'Planning par personne'!D8))</f>
        <v>0</v>
      </c>
      <c r="CB8" t="n">
        <f>IF(OR(Personnes!$A8="",3&gt;Paramètres!$B$9),0,MAX(0,SUMIF($B$8:$B$247,Personnes!$A8,$AM$8:$AM$247)-'Planning par personne'!E8))</f>
        <v>0</v>
      </c>
      <c r="CC8" t="n">
        <f>IF(OR(Personnes!$A8="",4&gt;Paramètres!$B$9),0,MAX(0,SUMIF($B$8:$B$247,Personnes!$A8,$AN$8:$AN$247)-'Planning par personne'!F8))</f>
        <v>0</v>
      </c>
      <c r="CD8" t="n">
        <f>IF(OR(Personnes!$A8="",5&gt;Paramètres!$B$9),0,MAX(0,SUMIF($B$8:$B$247,Personnes!$A8,$AO$8:$AO$247)-'Planning par personne'!G8))</f>
        <v>0</v>
      </c>
      <c r="CE8" t="n">
        <f>IF(OR(Personnes!$A8="",6&gt;Paramètres!$B$9),0,MAX(0,SUMIF($B$8:$B$247,Personnes!$A8,$AP$8:$AP$247)-'Planning par personne'!H8))</f>
        <v>0</v>
      </c>
      <c r="CF8" t="n">
        <f>IF(OR(Personnes!$A8="",7&gt;Paramètres!$B$9),0,MAX(0,SUMIF($B$8:$B$247,Personnes!$A8,$AQ$8:$AQ$247)-'Planning par personne'!I8))</f>
        <v>0</v>
      </c>
      <c r="CG8" t="n">
        <f>IF(OR(Personnes!$A8="",8&gt;Paramètres!$B$9),0,MAX(0,SUMIF($B$8:$B$247,Personnes!$A8,$AR$8:$AR$247)-'Planning par personne'!J8))</f>
        <v>0</v>
      </c>
      <c r="CH8" t="n">
        <f>IF(OR(Personnes!$A8="",9&gt;Paramètres!$B$9),0,MAX(0,SUMIF($B$8:$B$247,Personnes!$A8,$AS$8:$AS$247)-'Planning par personne'!K8))</f>
        <v>0</v>
      </c>
      <c r="CI8" t="n">
        <f>IF(OR(Personnes!$A8="",10&gt;Paramètres!$B$9),0,MAX(0,SUMIF($B$8:$B$247,Personnes!$A8,$AT$8:$AT$247)-'Planning par personne'!L8))</f>
        <v>0</v>
      </c>
      <c r="CJ8" t="n">
        <f>IF(OR(Personnes!$A8="",11&gt;Paramètres!$B$9),0,MAX(0,SUMIF($B$8:$B$247,Personnes!$A8,$AU$8:$AU$247)-'Planning par personne'!M8))</f>
        <v>0</v>
      </c>
      <c r="CK8" t="n">
        <f>IF(OR(Personnes!$A8="",12&gt;Paramètres!$B$9),0,MAX(0,SUMIF($B$8:$B$247,Personnes!$A8,$AV$8:$AV$247)-'Planning par personne'!N8))</f>
        <v>0</v>
      </c>
      <c r="CL8" t="n">
        <f>IF(OR(Personnes!$A8="",13&gt;Paramètres!$B$9),0,MAX(0,SUMIF($B$8:$B$247,Personnes!$A8,$AW$8:$AW$247)-'Planning par personne'!O8))</f>
        <v>0</v>
      </c>
      <c r="CM8" t="n">
        <f>IF(OR(Personnes!$A8="",1&gt;Paramètres!$B$9),0,MAX(0,SUMIF($B$8:$B$247,Personnes!$A8,$AX$8:$AX$247)-'Planning par personne'!C8))</f>
        <v>0</v>
      </c>
      <c r="CN8" t="n">
        <f>IF(OR(Personnes!$A8="",2&gt;Paramètres!$B$9),0,MAX(0,SUMIF($B$8:$B$247,Personnes!$A8,$AY$8:$AY$247)-'Planning par personne'!D8))</f>
        <v>0</v>
      </c>
      <c r="CO8" t="n">
        <f>IF(OR(Personnes!$A8="",3&gt;Paramètres!$B$9),0,MAX(0,SUMIF($B$8:$B$247,Personnes!$A8,$AZ$8:$AZ$247)-'Planning par personne'!E8))</f>
        <v>0</v>
      </c>
      <c r="CP8" t="n">
        <f>IF(OR(Personnes!$A8="",4&gt;Paramètres!$B$9),0,MAX(0,SUMIF($B$8:$B$247,Personnes!$A8,$BA$8:$BA$247)-'Planning par personne'!F8))</f>
        <v>0</v>
      </c>
      <c r="CQ8" t="n">
        <f>IF(OR(Personnes!$A8="",5&gt;Paramètres!$B$9),0,MAX(0,SUMIF($B$8:$B$247,Personnes!$A8,$BB$8:$BB$247)-'Planning par personne'!G8))</f>
        <v>0</v>
      </c>
      <c r="CR8" t="n">
        <f>IF(OR(Personnes!$A8="",6&gt;Paramètres!$B$9),0,MAX(0,SUMIF($B$8:$B$247,Personnes!$A8,$BC$8:$BC$247)-'Planning par personne'!H8))</f>
        <v>0</v>
      </c>
      <c r="CS8" t="n">
        <f>IF(OR(Personnes!$A8="",7&gt;Paramètres!$B$9),0,MAX(0,SUMIF($B$8:$B$247,Personnes!$A8,$BD$8:$BD$247)-'Planning par personne'!I8))</f>
        <v>0</v>
      </c>
      <c r="CT8" t="n">
        <f>IF(OR(Personnes!$A8="",8&gt;Paramètres!$B$9),0,MAX(0,SUMIF($B$8:$B$247,Personnes!$A8,$BE$8:$BE$247)-'Planning par personne'!J8))</f>
        <v>0</v>
      </c>
      <c r="CU8" t="n">
        <f>IF(OR(Personnes!$A8="",9&gt;Paramètres!$B$9),0,MAX(0,SUMIF($B$8:$B$247,Personnes!$A8,$BF$8:$BF$247)-'Planning par personne'!K8))</f>
        <v>0</v>
      </c>
      <c r="CV8" t="n">
        <f>IF(OR(Personnes!$A8="",10&gt;Paramètres!$B$9),0,MAX(0,SUMIF($B$8:$B$247,Personnes!$A8,$BG$8:$BG$247)-'Planning par personne'!L8))</f>
        <v>0</v>
      </c>
      <c r="CW8" t="n">
        <f>IF(OR(Personnes!$A8="",11&gt;Paramètres!$B$9),0,MAX(0,SUMIF($B$8:$B$247,Personnes!$A8,$BH$8:$BH$247)-'Planning par personne'!M8))</f>
        <v>0</v>
      </c>
      <c r="CX8" t="n">
        <f>IF(OR(Personnes!$A8="",12&gt;Paramètres!$B$9),0,MAX(0,SUMIF($B$8:$B$247,Personnes!$A8,$BI$8:$BI$247)-'Planning par personne'!N8))</f>
        <v>0</v>
      </c>
      <c r="CY8" t="n">
        <f>IF(OR(Personnes!$A8="",13&gt;Paramètres!$B$9),0,MAX(0,SUMIF($B$8:$B$247,Personnes!$A8,$BJ$8:$BJ$247)-'Planning par personne'!O8))</f>
        <v>0</v>
      </c>
      <c r="DJ8" t="n">
        <f>SUM(BM8:BY8)</f>
        <v>0</v>
      </c>
      <c r="DK8" t="n">
        <f>SUM(BZ8:CL8)</f>
        <v>0</v>
      </c>
      <c r="DL8" t="n">
        <f>SUM(CM8:CY8)</f>
        <v>0</v>
      </c>
      <c r="DM8" t="str">
        <f>IF(AND(Projets!A8&lt;&gt;"",Projets!G8="Engager"),""&amp;IF(""="","",", ")&amp;Projets!B8,"")</f>
        <v/>
      </c>
      <c r="DN8" t="str">
        <f>IF(AND(Projets!A8&lt;&gt;"",Projets!G8="Reporter"),""&amp;IF(""="","",", ")&amp;Projets!B8,"")</f>
        <v/>
      </c>
    </row>
    <row r="9">
      <c r="A9" t="n">
        <f>Charges!A9</f>
        <v>0</v>
      </c>
      <c r="B9" t="n">
        <f>Charges!C9</f>
        <v>0</v>
      </c>
      <c r="C9" t="str">
        <f>Charges!D9</f>
        <v/>
      </c>
      <c r="E9" t="n">
        <f>IF(1&lt;=Paramètres!$B$9,MAX(0,IFERROR(N(IF(ISNUMBER(Charges!F9),MAX(0,Charges!F9),IFERROR(VLOOKUP(Charges!F9,Paramètres!$A$15:$B$18,2,FALSE),0))),0)),0)</f>
        <v>0</v>
      </c>
      <c r="F9" t="n">
        <f>IF(2&lt;=Paramètres!$B$9,MAX(0,IFERROR(N(IF(ISNUMBER(Charges!G9),MAX(0,Charges!G9),IFERROR(VLOOKUP(Charges!G9,Paramètres!$A$15:$B$18,2,FALSE),0))),0)),0)</f>
        <v>0</v>
      </c>
      <c r="G9" t="n">
        <f>IF(3&lt;=Paramètres!$B$9,MAX(0,IFERROR(N(IF(ISNUMBER(Charges!H9),MAX(0,Charges!H9),IFERROR(VLOOKUP(Charges!H9,Paramètres!$A$15:$B$18,2,FALSE),0))),0)),0)</f>
        <v>0</v>
      </c>
      <c r="H9" t="n">
        <f>IF(4&lt;=Paramètres!$B$9,MAX(0,IFERROR(N(IF(ISNUMBER(Charges!I9),MAX(0,Charges!I9),IFERROR(VLOOKUP(Charges!I9,Paramètres!$A$15:$B$18,2,FALSE),0))),0)),0)</f>
        <v>0</v>
      </c>
      <c r="I9" t="n">
        <f>IF(5&lt;=Paramètres!$B$9,MAX(0,IFERROR(N(IF(ISNUMBER(Charges!J9),MAX(0,Charges!J9),IFERROR(VLOOKUP(Charges!J9,Paramètres!$A$15:$B$18,2,FALSE),0))),0)),0)</f>
        <v>0</v>
      </c>
      <c r="J9" t="n">
        <f>IF(6&lt;=Paramètres!$B$9,MAX(0,IFERROR(N(IF(ISNUMBER(Charges!K9),MAX(0,Charges!K9),IFERROR(VLOOKUP(Charges!K9,Paramètres!$A$15:$B$18,2,FALSE),0))),0)),0)</f>
        <v>0</v>
      </c>
      <c r="K9" t="n">
        <f>IF(7&lt;=Paramètres!$B$9,MAX(0,IFERROR(N(IF(ISNUMBER(Charges!L9),MAX(0,Charges!L9),IFERROR(VLOOKUP(Charges!L9,Paramètres!$A$15:$B$18,2,FALSE),0))),0)),0)</f>
        <v>0</v>
      </c>
      <c r="L9" t="n">
        <f>IF(8&lt;=Paramètres!$B$9,MAX(0,IFERROR(N(IF(ISNUMBER(Charges!M9),MAX(0,Charges!M9),IFERROR(VLOOKUP(Charges!M9,Paramètres!$A$15:$B$18,2,FALSE),0))),0)),0)</f>
        <v>0</v>
      </c>
      <c r="M9" t="n">
        <f>IF(9&lt;=Paramètres!$B$9,MAX(0,IFERROR(N(IF(ISNUMBER(Charges!N9),MAX(0,Charges!N9),IFERROR(VLOOKUP(Charges!N9,Paramètres!$A$15:$B$18,2,FALSE),0))),0)),0)</f>
        <v>0</v>
      </c>
      <c r="N9" t="n">
        <f>IF(10&lt;=Paramètres!$B$9,MAX(0,IFERROR(N(IF(ISNUMBER(Charges!O9),MAX(0,Charges!O9),IFERROR(VLOOKUP(Charges!O9,Paramètres!$A$15:$B$18,2,FALSE),0))),0)),0)</f>
        <v>0</v>
      </c>
      <c r="O9" t="n">
        <f>IF(11&lt;=Paramètres!$B$9,MAX(0,IFERROR(N(IF(ISNUMBER(Charges!P9),MAX(0,Charges!P9),IFERROR(VLOOKUP(Charges!P9,Paramètres!$A$15:$B$18,2,FALSE),0))),0)),0)</f>
        <v>0</v>
      </c>
      <c r="P9" t="n">
        <f>IF(12&lt;=Paramètres!$B$9,MAX(0,IFERROR(N(IF(ISNUMBER(Charges!Q9),MAX(0,Charges!Q9),IFERROR(VLOOKUP(Charges!Q9,Paramètres!$A$15:$B$18,2,FALSE),0))),0)),0)</f>
        <v>0</v>
      </c>
      <c r="Q9" t="n">
        <f>IF(13&lt;=Paramètres!$B$9,MAX(0,IFERROR(N(IF(ISNUMBER(Charges!R9),MAX(0,Charges!R9),IFERROR(VLOOKUP(Charges!R9,Paramètres!$A$15:$B$18,2,FALSE),0))),0)),0)</f>
        <v>0</v>
      </c>
      <c r="R9" t="n">
        <f>SUM(E9:Q9)</f>
        <v>0</v>
      </c>
      <c r="S9" t="n">
        <f>IF(IFERROR(VLOOKUP(A9,'Projets'!$A$8:$Z$67,7,FALSE),"")="Engager",1,0)</f>
        <v>0</v>
      </c>
      <c r="T9" t="n">
        <f>IF(OR(Charges!F9="",AND(ISNUMBER(Charges!F9),Charges!F9&gt;=0),Charges!F9="S",Charges!F9="M",Charges!F9="L",Charges!F9="XL"),0,1)+IF(OR(Charges!G9="",AND(ISNUMBER(Charges!G9),Charges!G9&gt;=0),Charges!G9="S",Charges!G9="M",Charges!G9="L",Charges!G9="XL"),0,1)+IF(OR(Charges!H9="",AND(ISNUMBER(Charges!H9),Charges!H9&gt;=0),Charges!H9="S",Charges!H9="M",Charges!H9="L",Charges!H9="XL"),0,1)+IF(OR(Charges!I9="",AND(ISNUMBER(Charges!I9),Charges!I9&gt;=0),Charges!I9="S",Charges!I9="M",Charges!I9="L",Charges!I9="XL"),0,1)+IF(OR(Charges!J9="",AND(ISNUMBER(Charges!J9),Charges!J9&gt;=0),Charges!J9="S",Charges!J9="M",Charges!J9="L",Charges!J9="XL"),0,1)+IF(OR(Charges!K9="",AND(ISNUMBER(Charges!K9),Charges!K9&gt;=0),Charges!K9="S",Charges!K9="M",Charges!K9="L",Charges!K9="XL"),0,1)+IF(OR(Charges!L9="",AND(ISNUMBER(Charges!L9),Charges!L9&gt;=0),Charges!L9="S",Charges!L9="M",Charges!L9="L",Charges!L9="XL"),0,1)+IF(OR(Charges!M9="",AND(ISNUMBER(Charges!M9),Charges!M9&gt;=0),Charges!M9="S",Charges!M9="M",Charges!M9="L",Charges!M9="XL"),0,1)+IF(OR(Charges!N9="",AND(ISNUMBER(Charges!N9),Charges!N9&gt;=0),Charges!N9="S",Charges!N9="M",Charges!N9="L",Charges!N9="XL"),0,1)+IF(OR(Charges!O9="",AND(ISNUMBER(Charges!O9),Charges!O9&gt;=0),Charges!O9="S",Charges!O9="M",Charges!O9="L",Charges!O9="XL"),0,1)+IF(OR(Charges!P9="",AND(ISNUMBER(Charges!P9),Charges!P9&gt;=0),Charges!P9="S",Charges!P9="M",Charges!P9="L",Charges!P9="XL"),0,1)+IF(OR(Charges!Q9="",AND(ISNUMBER(Charges!Q9),Charges!Q9&gt;=0),Charges!Q9="S",Charges!Q9="M",Charges!Q9="L",Charges!Q9="XL"),0,1)+IF(OR(Charges!R9="",AND(ISNUMBER(Charges!R9),Charges!R9&gt;=0),Charges!R9="S",Charges!R9="M",Charges!R9="L",Charges!R9="XL"),0,1)</f>
        <v>0</v>
      </c>
      <c r="U9" t="n">
        <f>IF(AND(1&gt;Paramètres!$B$9,Charges!F9&lt;&gt;"",Charges!F9&lt;&gt;0),1,0)+IF(AND(2&gt;Paramètres!$B$9,Charges!G9&lt;&gt;"",Charges!G9&lt;&gt;0),1,0)+IF(AND(3&gt;Paramètres!$B$9,Charges!H9&lt;&gt;"",Charges!H9&lt;&gt;0),1,0)+IF(AND(4&gt;Paramètres!$B$9,Charges!I9&lt;&gt;"",Charges!I9&lt;&gt;0),1,0)+IF(AND(5&gt;Paramètres!$B$9,Charges!J9&lt;&gt;"",Charges!J9&lt;&gt;0),1,0)+IF(AND(6&gt;Paramètres!$B$9,Charges!K9&lt;&gt;"",Charges!K9&lt;&gt;0),1,0)+IF(AND(7&gt;Paramètres!$B$9,Charges!L9&lt;&gt;"",Charges!L9&lt;&gt;0),1,0)+IF(AND(8&gt;Paramètres!$B$9,Charges!M9&lt;&gt;"",Charges!M9&lt;&gt;0),1,0)+IF(AND(9&gt;Paramètres!$B$9,Charges!N9&lt;&gt;"",Charges!N9&lt;&gt;0),1,0)+IF(AND(10&gt;Paramètres!$B$9,Charges!O9&lt;&gt;"",Charges!O9&lt;&gt;0),1,0)+IF(AND(11&gt;Paramètres!$B$9,Charges!P9&lt;&gt;"",Charges!P9&lt;&gt;0),1,0)+IF(AND(12&gt;Paramètres!$B$9,Charges!Q9&lt;&gt;"",Charges!Q9&lt;&gt;0),1,0)+IF(AND(13&gt;Paramètres!$B$9,Charges!R9&lt;&gt;"",Charges!R9&lt;&gt;0),1,0)</f>
        <v>0</v>
      </c>
      <c r="V9" t="n">
        <f>IF(IFERROR(VLOOKUP(A9,'Projets'!$A$8:$Z$67,5,FALSE),"")="Engager",1,0)</f>
        <v>0</v>
      </c>
      <c r="W9" t="n">
        <f>IF(IFERROR(VLOOKUP(A9,'Projets'!$A$8:$Z$67,6,FALSE),"")="Engager",1,0)</f>
        <v>0</v>
      </c>
      <c r="X9" t="n">
        <f>E9*S9</f>
        <v>0</v>
      </c>
      <c r="Y9" t="n">
        <f>F9*S9</f>
        <v>0</v>
      </c>
      <c r="Z9" t="n">
        <f>G9*S9</f>
        <v>0</v>
      </c>
      <c r="AA9" t="n">
        <f>H9*S9</f>
        <v>0</v>
      </c>
      <c r="AB9" t="n">
        <f>I9*S9</f>
        <v>0</v>
      </c>
      <c r="AC9" t="n">
        <f>J9*S9</f>
        <v>0</v>
      </c>
      <c r="AD9" t="n">
        <f>K9*S9</f>
        <v>0</v>
      </c>
      <c r="AE9" t="n">
        <f>L9*S9</f>
        <v>0</v>
      </c>
      <c r="AF9" t="n">
        <f>M9*S9</f>
        <v>0</v>
      </c>
      <c r="AG9" t="n">
        <f>N9*S9</f>
        <v>0</v>
      </c>
      <c r="AH9" t="n">
        <f>O9*S9</f>
        <v>0</v>
      </c>
      <c r="AI9" t="n">
        <f>P9*S9</f>
        <v>0</v>
      </c>
      <c r="AJ9" t="n">
        <f>Q9*S9</f>
        <v>0</v>
      </c>
      <c r="AK9" t="n">
        <f>E9*V9</f>
        <v>0</v>
      </c>
      <c r="AL9" t="n">
        <f>F9*V9</f>
        <v>0</v>
      </c>
      <c r="AM9" t="n">
        <f>G9*V9</f>
        <v>0</v>
      </c>
      <c r="AN9" t="n">
        <f>H9*V9</f>
        <v>0</v>
      </c>
      <c r="AO9" t="n">
        <f>I9*V9</f>
        <v>0</v>
      </c>
      <c r="AP9" t="n">
        <f>J9*V9</f>
        <v>0</v>
      </c>
      <c r="AQ9" t="n">
        <f>K9*V9</f>
        <v>0</v>
      </c>
      <c r="AR9" t="n">
        <f>L9*V9</f>
        <v>0</v>
      </c>
      <c r="AS9" t="n">
        <f>M9*V9</f>
        <v>0</v>
      </c>
      <c r="AT9" t="n">
        <f>N9*V9</f>
        <v>0</v>
      </c>
      <c r="AU9" t="n">
        <f>O9*V9</f>
        <v>0</v>
      </c>
      <c r="AV9" t="n">
        <f>P9*V9</f>
        <v>0</v>
      </c>
      <c r="AW9" t="n">
        <f>Q9*V9</f>
        <v>0</v>
      </c>
      <c r="AX9" t="n">
        <f>E9*W9</f>
        <v>0</v>
      </c>
      <c r="AY9" t="n">
        <f>F9*W9</f>
        <v>0</v>
      </c>
      <c r="AZ9" t="n">
        <f>G9*W9</f>
        <v>0</v>
      </c>
      <c r="BA9" t="n">
        <f>H9*W9</f>
        <v>0</v>
      </c>
      <c r="BB9" t="n">
        <f>I9*W9</f>
        <v>0</v>
      </c>
      <c r="BC9" t="n">
        <f>J9*W9</f>
        <v>0</v>
      </c>
      <c r="BD9" t="n">
        <f>K9*W9</f>
        <v>0</v>
      </c>
      <c r="BE9" t="n">
        <f>L9*W9</f>
        <v>0</v>
      </c>
      <c r="BF9" t="n">
        <f>M9*W9</f>
        <v>0</v>
      </c>
      <c r="BG9" t="n">
        <f>N9*W9</f>
        <v>0</v>
      </c>
      <c r="BH9" t="n">
        <f>O9*W9</f>
        <v>0</v>
      </c>
      <c r="BI9" t="n">
        <f>P9*W9</f>
        <v>0</v>
      </c>
      <c r="BJ9" t="n">
        <f>Q9*W9</f>
        <v>0</v>
      </c>
      <c r="BM9" t="n">
        <f>IF(OR(Personnes!$A9="",1&gt;Paramètres!$B$9),0,MAX(0,SUMIF($B$8:$B$247,Personnes!$A9,$E$8:$E$247)-'Planning par personne'!C9))</f>
        <v>0</v>
      </c>
      <c r="BN9" t="n">
        <f>IF(OR(Personnes!$A9="",2&gt;Paramètres!$B$9),0,MAX(0,SUMIF($B$8:$B$247,Personnes!$A9,$F$8:$F$247)-'Planning par personne'!D9))</f>
        <v>0</v>
      </c>
      <c r="BO9" t="n">
        <f>IF(OR(Personnes!$A9="",3&gt;Paramètres!$B$9),0,MAX(0,SUMIF($B$8:$B$247,Personnes!$A9,$G$8:$G$247)-'Planning par personne'!E9))</f>
        <v>0</v>
      </c>
      <c r="BP9" t="n">
        <f>IF(OR(Personnes!$A9="",4&gt;Paramètres!$B$9),0,MAX(0,SUMIF($B$8:$B$247,Personnes!$A9,$H$8:$H$247)-'Planning par personne'!F9))</f>
        <v>0</v>
      </c>
      <c r="BQ9" t="n">
        <f>IF(OR(Personnes!$A9="",5&gt;Paramètres!$B$9),0,MAX(0,SUMIF($B$8:$B$247,Personnes!$A9,$I$8:$I$247)-'Planning par personne'!G9))</f>
        <v>0</v>
      </c>
      <c r="BR9" t="n">
        <f>IF(OR(Personnes!$A9="",6&gt;Paramètres!$B$9),0,MAX(0,SUMIF($B$8:$B$247,Personnes!$A9,$J$8:$J$247)-'Planning par personne'!H9))</f>
        <v>0</v>
      </c>
      <c r="BS9" t="n">
        <f>IF(OR(Personnes!$A9="",7&gt;Paramètres!$B$9),0,MAX(0,SUMIF($B$8:$B$247,Personnes!$A9,$K$8:$K$247)-'Planning par personne'!I9))</f>
        <v>0</v>
      </c>
      <c r="BT9" t="n">
        <f>IF(OR(Personnes!$A9="",8&gt;Paramètres!$B$9),0,MAX(0,SUMIF($B$8:$B$247,Personnes!$A9,$L$8:$L$247)-'Planning par personne'!J9))</f>
        <v>0</v>
      </c>
      <c r="BU9" t="n">
        <f>IF(OR(Personnes!$A9="",9&gt;Paramètres!$B$9),0,MAX(0,SUMIF($B$8:$B$247,Personnes!$A9,$M$8:$M$247)-'Planning par personne'!K9))</f>
        <v>0</v>
      </c>
      <c r="BV9" t="n">
        <f>IF(OR(Personnes!$A9="",10&gt;Paramètres!$B$9),0,MAX(0,SUMIF($B$8:$B$247,Personnes!$A9,$N$8:$N$247)-'Planning par personne'!L9))</f>
        <v>0</v>
      </c>
      <c r="BW9" t="n">
        <f>IF(OR(Personnes!$A9="",11&gt;Paramètres!$B$9),0,MAX(0,SUMIF($B$8:$B$247,Personnes!$A9,$O$8:$O$247)-'Planning par personne'!M9))</f>
        <v>0</v>
      </c>
      <c r="BX9" t="n">
        <f>IF(OR(Personnes!$A9="",12&gt;Paramètres!$B$9),0,MAX(0,SUMIF($B$8:$B$247,Personnes!$A9,$P$8:$P$247)-'Planning par personne'!N9))</f>
        <v>0</v>
      </c>
      <c r="BY9" t="n">
        <f>IF(OR(Personnes!$A9="",13&gt;Paramètres!$B$9),0,MAX(0,SUMIF($B$8:$B$247,Personnes!$A9,$Q$8:$Q$247)-'Planning par personne'!O9))</f>
        <v>0</v>
      </c>
      <c r="BZ9" t="n">
        <f>IF(OR(Personnes!$A9="",1&gt;Paramètres!$B$9),0,MAX(0,SUMIF($B$8:$B$247,Personnes!$A9,$AK$8:$AK$247)-'Planning par personne'!C9))</f>
        <v>0</v>
      </c>
      <c r="CA9" t="n">
        <f>IF(OR(Personnes!$A9="",2&gt;Paramètres!$B$9),0,MAX(0,SUMIF($B$8:$B$247,Personnes!$A9,$AL$8:$AL$247)-'Planning par personne'!D9))</f>
        <v>0</v>
      </c>
      <c r="CB9" t="n">
        <f>IF(OR(Personnes!$A9="",3&gt;Paramètres!$B$9),0,MAX(0,SUMIF($B$8:$B$247,Personnes!$A9,$AM$8:$AM$247)-'Planning par personne'!E9))</f>
        <v>0</v>
      </c>
      <c r="CC9" t="n">
        <f>IF(OR(Personnes!$A9="",4&gt;Paramètres!$B$9),0,MAX(0,SUMIF($B$8:$B$247,Personnes!$A9,$AN$8:$AN$247)-'Planning par personne'!F9))</f>
        <v>0</v>
      </c>
      <c r="CD9" t="n">
        <f>IF(OR(Personnes!$A9="",5&gt;Paramètres!$B$9),0,MAX(0,SUMIF($B$8:$B$247,Personnes!$A9,$AO$8:$AO$247)-'Planning par personne'!G9))</f>
        <v>0</v>
      </c>
      <c r="CE9" t="n">
        <f>IF(OR(Personnes!$A9="",6&gt;Paramètres!$B$9),0,MAX(0,SUMIF($B$8:$B$247,Personnes!$A9,$AP$8:$AP$247)-'Planning par personne'!H9))</f>
        <v>0</v>
      </c>
      <c r="CF9" t="n">
        <f>IF(OR(Personnes!$A9="",7&gt;Paramètres!$B$9),0,MAX(0,SUMIF($B$8:$B$247,Personnes!$A9,$AQ$8:$AQ$247)-'Planning par personne'!I9))</f>
        <v>0</v>
      </c>
      <c r="CG9" t="n">
        <f>IF(OR(Personnes!$A9="",8&gt;Paramètres!$B$9),0,MAX(0,SUMIF($B$8:$B$247,Personnes!$A9,$AR$8:$AR$247)-'Planning par personne'!J9))</f>
        <v>0</v>
      </c>
      <c r="CH9" t="n">
        <f>IF(OR(Personnes!$A9="",9&gt;Paramètres!$B$9),0,MAX(0,SUMIF($B$8:$B$247,Personnes!$A9,$AS$8:$AS$247)-'Planning par personne'!K9))</f>
        <v>0</v>
      </c>
      <c r="CI9" t="n">
        <f>IF(OR(Personnes!$A9="",10&gt;Paramètres!$B$9),0,MAX(0,SUMIF($B$8:$B$247,Personnes!$A9,$AT$8:$AT$247)-'Planning par personne'!L9))</f>
        <v>0</v>
      </c>
      <c r="CJ9" t="n">
        <f>IF(OR(Personnes!$A9="",11&gt;Paramètres!$B$9),0,MAX(0,SUMIF($B$8:$B$247,Personnes!$A9,$AU$8:$AU$247)-'Planning par personne'!M9))</f>
        <v>0</v>
      </c>
      <c r="CK9" t="n">
        <f>IF(OR(Personnes!$A9="",12&gt;Paramètres!$B$9),0,MAX(0,SUMIF($B$8:$B$247,Personnes!$A9,$AV$8:$AV$247)-'Planning par personne'!N9))</f>
        <v>0</v>
      </c>
      <c r="CL9" t="n">
        <f>IF(OR(Personnes!$A9="",13&gt;Paramètres!$B$9),0,MAX(0,SUMIF($B$8:$B$247,Personnes!$A9,$AW$8:$AW$247)-'Planning par personne'!O9))</f>
        <v>0</v>
      </c>
      <c r="CM9" t="n">
        <f>IF(OR(Personnes!$A9="",1&gt;Paramètres!$B$9),0,MAX(0,SUMIF($B$8:$B$247,Personnes!$A9,$AX$8:$AX$247)-'Planning par personne'!C9))</f>
        <v>0</v>
      </c>
      <c r="CN9" t="n">
        <f>IF(OR(Personnes!$A9="",2&gt;Paramètres!$B$9),0,MAX(0,SUMIF($B$8:$B$247,Personnes!$A9,$AY$8:$AY$247)-'Planning par personne'!D9))</f>
        <v>0</v>
      </c>
      <c r="CO9" t="n">
        <f>IF(OR(Personnes!$A9="",3&gt;Paramètres!$B$9),0,MAX(0,SUMIF($B$8:$B$247,Personnes!$A9,$AZ$8:$AZ$247)-'Planning par personne'!E9))</f>
        <v>0</v>
      </c>
      <c r="CP9" t="n">
        <f>IF(OR(Personnes!$A9="",4&gt;Paramètres!$B$9),0,MAX(0,SUMIF($B$8:$B$247,Personnes!$A9,$BA$8:$BA$247)-'Planning par personne'!F9))</f>
        <v>0</v>
      </c>
      <c r="CQ9" t="n">
        <f>IF(OR(Personnes!$A9="",5&gt;Paramètres!$B$9),0,MAX(0,SUMIF($B$8:$B$247,Personnes!$A9,$BB$8:$BB$247)-'Planning par personne'!G9))</f>
        <v>0</v>
      </c>
      <c r="CR9" t="n">
        <f>IF(OR(Personnes!$A9="",6&gt;Paramètres!$B$9),0,MAX(0,SUMIF($B$8:$B$247,Personnes!$A9,$BC$8:$BC$247)-'Planning par personne'!H9))</f>
        <v>0</v>
      </c>
      <c r="CS9" t="n">
        <f>IF(OR(Personnes!$A9="",7&gt;Paramètres!$B$9),0,MAX(0,SUMIF($B$8:$B$247,Personnes!$A9,$BD$8:$BD$247)-'Planning par personne'!I9))</f>
        <v>0</v>
      </c>
      <c r="CT9" t="n">
        <f>IF(OR(Personnes!$A9="",8&gt;Paramètres!$B$9),0,MAX(0,SUMIF($B$8:$B$247,Personnes!$A9,$BE$8:$BE$247)-'Planning par personne'!J9))</f>
        <v>0</v>
      </c>
      <c r="CU9" t="n">
        <f>IF(OR(Personnes!$A9="",9&gt;Paramètres!$B$9),0,MAX(0,SUMIF($B$8:$B$247,Personnes!$A9,$BF$8:$BF$247)-'Planning par personne'!K9))</f>
        <v>0</v>
      </c>
      <c r="CV9" t="n">
        <f>IF(OR(Personnes!$A9="",10&gt;Paramètres!$B$9),0,MAX(0,SUMIF($B$8:$B$247,Personnes!$A9,$BG$8:$BG$247)-'Planning par personne'!L9))</f>
        <v>0</v>
      </c>
      <c r="CW9" t="n">
        <f>IF(OR(Personnes!$A9="",11&gt;Paramètres!$B$9),0,MAX(0,SUMIF($B$8:$B$247,Personnes!$A9,$BH$8:$BH$247)-'Planning par personne'!M9))</f>
        <v>0</v>
      </c>
      <c r="CX9" t="n">
        <f>IF(OR(Personnes!$A9="",12&gt;Paramètres!$B$9),0,MAX(0,SUMIF($B$8:$B$247,Personnes!$A9,$BI$8:$BI$247)-'Planning par personne'!N9))</f>
        <v>0</v>
      </c>
      <c r="CY9" t="n">
        <f>IF(OR(Personnes!$A9="",13&gt;Paramètres!$B$9),0,MAX(0,SUMIF($B$8:$B$247,Personnes!$A9,$BJ$8:$BJ$247)-'Planning par personne'!O9))</f>
        <v>0</v>
      </c>
      <c r="DJ9" t="n">
        <f>SUM(BM9:BY9)</f>
        <v>0</v>
      </c>
      <c r="DK9" t="n">
        <f>SUM(BZ9:CL9)</f>
        <v>0</v>
      </c>
      <c r="DL9" t="n">
        <f>SUM(CM9:CY9)</f>
        <v>0</v>
      </c>
      <c r="DM9" t="str">
        <f>IF(AND(Projets!A9&lt;&gt;"",Projets!G9="Engager"),DM8&amp;IF(DM8="","",", ")&amp;Projets!B9,DM8)</f>
        <v/>
      </c>
      <c r="DN9" t="str">
        <f>IF(AND(Projets!A9&lt;&gt;"",Projets!G9="Reporter"),DN8&amp;IF(DN8="","",", ")&amp;Projets!B9,DN8)</f>
        <v/>
      </c>
    </row>
    <row r="10">
      <c r="A10" t="n">
        <f>Charges!A10</f>
        <v>0</v>
      </c>
      <c r="B10" t="n">
        <f>Charges!C10</f>
        <v>0</v>
      </c>
      <c r="C10" t="str">
        <f>Charges!D10</f>
        <v/>
      </c>
      <c r="E10" t="n">
        <f>IF(1&lt;=Paramètres!$B$9,MAX(0,IFERROR(N(IF(ISNUMBER(Charges!F10),MAX(0,Charges!F10),IFERROR(VLOOKUP(Charges!F10,Paramètres!$A$15:$B$18,2,FALSE),0))),0)),0)</f>
        <v>0</v>
      </c>
      <c r="F10" t="n">
        <f>IF(2&lt;=Paramètres!$B$9,MAX(0,IFERROR(N(IF(ISNUMBER(Charges!G10),MAX(0,Charges!G10),IFERROR(VLOOKUP(Charges!G10,Paramètres!$A$15:$B$18,2,FALSE),0))),0)),0)</f>
        <v>0</v>
      </c>
      <c r="G10" t="n">
        <f>IF(3&lt;=Paramètres!$B$9,MAX(0,IFERROR(N(IF(ISNUMBER(Charges!H10),MAX(0,Charges!H10),IFERROR(VLOOKUP(Charges!H10,Paramètres!$A$15:$B$18,2,FALSE),0))),0)),0)</f>
        <v>0</v>
      </c>
      <c r="H10" t="n">
        <f>IF(4&lt;=Paramètres!$B$9,MAX(0,IFERROR(N(IF(ISNUMBER(Charges!I10),MAX(0,Charges!I10),IFERROR(VLOOKUP(Charges!I10,Paramètres!$A$15:$B$18,2,FALSE),0))),0)),0)</f>
        <v>0</v>
      </c>
      <c r="I10" t="n">
        <f>IF(5&lt;=Paramètres!$B$9,MAX(0,IFERROR(N(IF(ISNUMBER(Charges!J10),MAX(0,Charges!J10),IFERROR(VLOOKUP(Charges!J10,Paramètres!$A$15:$B$18,2,FALSE),0))),0)),0)</f>
        <v>0</v>
      </c>
      <c r="J10" t="n">
        <f>IF(6&lt;=Paramètres!$B$9,MAX(0,IFERROR(N(IF(ISNUMBER(Charges!K10),MAX(0,Charges!K10),IFERROR(VLOOKUP(Charges!K10,Paramètres!$A$15:$B$18,2,FALSE),0))),0)),0)</f>
        <v>0</v>
      </c>
      <c r="K10" t="n">
        <f>IF(7&lt;=Paramètres!$B$9,MAX(0,IFERROR(N(IF(ISNUMBER(Charges!L10),MAX(0,Charges!L10),IFERROR(VLOOKUP(Charges!L10,Paramètres!$A$15:$B$18,2,FALSE),0))),0)),0)</f>
        <v>0</v>
      </c>
      <c r="L10" t="n">
        <f>IF(8&lt;=Paramètres!$B$9,MAX(0,IFERROR(N(IF(ISNUMBER(Charges!M10),MAX(0,Charges!M10),IFERROR(VLOOKUP(Charges!M10,Paramètres!$A$15:$B$18,2,FALSE),0))),0)),0)</f>
        <v>0</v>
      </c>
      <c r="M10" t="n">
        <f>IF(9&lt;=Paramètres!$B$9,MAX(0,IFERROR(N(IF(ISNUMBER(Charges!N10),MAX(0,Charges!N10),IFERROR(VLOOKUP(Charges!N10,Paramètres!$A$15:$B$18,2,FALSE),0))),0)),0)</f>
        <v>0</v>
      </c>
      <c r="N10" t="n">
        <f>IF(10&lt;=Paramètres!$B$9,MAX(0,IFERROR(N(IF(ISNUMBER(Charges!O10),MAX(0,Charges!O10),IFERROR(VLOOKUP(Charges!O10,Paramètres!$A$15:$B$18,2,FALSE),0))),0)),0)</f>
        <v>0</v>
      </c>
      <c r="O10" t="n">
        <f>IF(11&lt;=Paramètres!$B$9,MAX(0,IFERROR(N(IF(ISNUMBER(Charges!P10),MAX(0,Charges!P10),IFERROR(VLOOKUP(Charges!P10,Paramètres!$A$15:$B$18,2,FALSE),0))),0)),0)</f>
        <v>0</v>
      </c>
      <c r="P10" t="n">
        <f>IF(12&lt;=Paramètres!$B$9,MAX(0,IFERROR(N(IF(ISNUMBER(Charges!Q10),MAX(0,Charges!Q10),IFERROR(VLOOKUP(Charges!Q10,Paramètres!$A$15:$B$18,2,FALSE),0))),0)),0)</f>
        <v>0</v>
      </c>
      <c r="Q10" t="n">
        <f>IF(13&lt;=Paramètres!$B$9,MAX(0,IFERROR(N(IF(ISNUMBER(Charges!R10),MAX(0,Charges!R10),IFERROR(VLOOKUP(Charges!R10,Paramètres!$A$15:$B$18,2,FALSE),0))),0)),0)</f>
        <v>0</v>
      </c>
      <c r="R10" t="n">
        <f>SUM(E10:Q10)</f>
        <v>0</v>
      </c>
      <c r="S10" t="n">
        <f>IF(IFERROR(VLOOKUP(A10,'Projets'!$A$8:$Z$67,7,FALSE),"")="Engager",1,0)</f>
        <v>0</v>
      </c>
      <c r="T10" t="n">
        <f>IF(OR(Charges!F10="",AND(ISNUMBER(Charges!F10),Charges!F10&gt;=0),Charges!F10="S",Charges!F10="M",Charges!F10="L",Charges!F10="XL"),0,1)+IF(OR(Charges!G10="",AND(ISNUMBER(Charges!G10),Charges!G10&gt;=0),Charges!G10="S",Charges!G10="M",Charges!G10="L",Charges!G10="XL"),0,1)+IF(OR(Charges!H10="",AND(ISNUMBER(Charges!H10),Charges!H10&gt;=0),Charges!H10="S",Charges!H10="M",Charges!H10="L",Charges!H10="XL"),0,1)+IF(OR(Charges!I10="",AND(ISNUMBER(Charges!I10),Charges!I10&gt;=0),Charges!I10="S",Charges!I10="M",Charges!I10="L",Charges!I10="XL"),0,1)+IF(OR(Charges!J10="",AND(ISNUMBER(Charges!J10),Charges!J10&gt;=0),Charges!J10="S",Charges!J10="M",Charges!J10="L",Charges!J10="XL"),0,1)+IF(OR(Charges!K10="",AND(ISNUMBER(Charges!K10),Charges!K10&gt;=0),Charges!K10="S",Charges!K10="M",Charges!K10="L",Charges!K10="XL"),0,1)+IF(OR(Charges!L10="",AND(ISNUMBER(Charges!L10),Charges!L10&gt;=0),Charges!L10="S",Charges!L10="M",Charges!L10="L",Charges!L10="XL"),0,1)+IF(OR(Charges!M10="",AND(ISNUMBER(Charges!M10),Charges!M10&gt;=0),Charges!M10="S",Charges!M10="M",Charges!M10="L",Charges!M10="XL"),0,1)+IF(OR(Charges!N10="",AND(ISNUMBER(Charges!N10),Charges!N10&gt;=0),Charges!N10="S",Charges!N10="M",Charges!N10="L",Charges!N10="XL"),0,1)+IF(OR(Charges!O10="",AND(ISNUMBER(Charges!O10),Charges!O10&gt;=0),Charges!O10="S",Charges!O10="M",Charges!O10="L",Charges!O10="XL"),0,1)+IF(OR(Charges!P10="",AND(ISNUMBER(Charges!P10),Charges!P10&gt;=0),Charges!P10="S",Charges!P10="M",Charges!P10="L",Charges!P10="XL"),0,1)+IF(OR(Charges!Q10="",AND(ISNUMBER(Charges!Q10),Charges!Q10&gt;=0),Charges!Q10="S",Charges!Q10="M",Charges!Q10="L",Charges!Q10="XL"),0,1)+IF(OR(Charges!R10="",AND(ISNUMBER(Charges!R10),Charges!R10&gt;=0),Charges!R10="S",Charges!R10="M",Charges!R10="L",Charges!R10="XL"),0,1)</f>
        <v>0</v>
      </c>
      <c r="U10" t="n">
        <f>IF(AND(1&gt;Paramètres!$B$9,Charges!F10&lt;&gt;"",Charges!F10&lt;&gt;0),1,0)+IF(AND(2&gt;Paramètres!$B$9,Charges!G10&lt;&gt;"",Charges!G10&lt;&gt;0),1,0)+IF(AND(3&gt;Paramètres!$B$9,Charges!H10&lt;&gt;"",Charges!H10&lt;&gt;0),1,0)+IF(AND(4&gt;Paramètres!$B$9,Charges!I10&lt;&gt;"",Charges!I10&lt;&gt;0),1,0)+IF(AND(5&gt;Paramètres!$B$9,Charges!J10&lt;&gt;"",Charges!J10&lt;&gt;0),1,0)+IF(AND(6&gt;Paramètres!$B$9,Charges!K10&lt;&gt;"",Charges!K10&lt;&gt;0),1,0)+IF(AND(7&gt;Paramètres!$B$9,Charges!L10&lt;&gt;"",Charges!L10&lt;&gt;0),1,0)+IF(AND(8&gt;Paramètres!$B$9,Charges!M10&lt;&gt;"",Charges!M10&lt;&gt;0),1,0)+IF(AND(9&gt;Paramètres!$B$9,Charges!N10&lt;&gt;"",Charges!N10&lt;&gt;0),1,0)+IF(AND(10&gt;Paramètres!$B$9,Charges!O10&lt;&gt;"",Charges!O10&lt;&gt;0),1,0)+IF(AND(11&gt;Paramètres!$B$9,Charges!P10&lt;&gt;"",Charges!P10&lt;&gt;0),1,0)+IF(AND(12&gt;Paramètres!$B$9,Charges!Q10&lt;&gt;"",Charges!Q10&lt;&gt;0),1,0)+IF(AND(13&gt;Paramètres!$B$9,Charges!R10&lt;&gt;"",Charges!R10&lt;&gt;0),1,0)</f>
        <v>0</v>
      </c>
      <c r="V10" t="n">
        <f>IF(IFERROR(VLOOKUP(A10,'Projets'!$A$8:$Z$67,5,FALSE),"")="Engager",1,0)</f>
        <v>0</v>
      </c>
      <c r="W10" t="n">
        <f>IF(IFERROR(VLOOKUP(A10,'Projets'!$A$8:$Z$67,6,FALSE),"")="Engager",1,0)</f>
        <v>0</v>
      </c>
      <c r="X10" t="n">
        <f>E10*S10</f>
        <v>0</v>
      </c>
      <c r="Y10" t="n">
        <f>F10*S10</f>
        <v>0</v>
      </c>
      <c r="Z10" t="n">
        <f>G10*S10</f>
        <v>0</v>
      </c>
      <c r="AA10" t="n">
        <f>H10*S10</f>
        <v>0</v>
      </c>
      <c r="AB10" t="n">
        <f>I10*S10</f>
        <v>0</v>
      </c>
      <c r="AC10" t="n">
        <f>J10*S10</f>
        <v>0</v>
      </c>
      <c r="AD10" t="n">
        <f>K10*S10</f>
        <v>0</v>
      </c>
      <c r="AE10" t="n">
        <f>L10*S10</f>
        <v>0</v>
      </c>
      <c r="AF10" t="n">
        <f>M10*S10</f>
        <v>0</v>
      </c>
      <c r="AG10" t="n">
        <f>N10*S10</f>
        <v>0</v>
      </c>
      <c r="AH10" t="n">
        <f>O10*S10</f>
        <v>0</v>
      </c>
      <c r="AI10" t="n">
        <f>P10*S10</f>
        <v>0</v>
      </c>
      <c r="AJ10" t="n">
        <f>Q10*S10</f>
        <v>0</v>
      </c>
      <c r="AK10" t="n">
        <f>E10*V10</f>
        <v>0</v>
      </c>
      <c r="AL10" t="n">
        <f>F10*V10</f>
        <v>0</v>
      </c>
      <c r="AM10" t="n">
        <f>G10*V10</f>
        <v>0</v>
      </c>
      <c r="AN10" t="n">
        <f>H10*V10</f>
        <v>0</v>
      </c>
      <c r="AO10" t="n">
        <f>I10*V10</f>
        <v>0</v>
      </c>
      <c r="AP10" t="n">
        <f>J10*V10</f>
        <v>0</v>
      </c>
      <c r="AQ10" t="n">
        <f>K10*V10</f>
        <v>0</v>
      </c>
      <c r="AR10" t="n">
        <f>L10*V10</f>
        <v>0</v>
      </c>
      <c r="AS10" t="n">
        <f>M10*V10</f>
        <v>0</v>
      </c>
      <c r="AT10" t="n">
        <f>N10*V10</f>
        <v>0</v>
      </c>
      <c r="AU10" t="n">
        <f>O10*V10</f>
        <v>0</v>
      </c>
      <c r="AV10" t="n">
        <f>P10*V10</f>
        <v>0</v>
      </c>
      <c r="AW10" t="n">
        <f>Q10*V10</f>
        <v>0</v>
      </c>
      <c r="AX10" t="n">
        <f>E10*W10</f>
        <v>0</v>
      </c>
      <c r="AY10" t="n">
        <f>F10*W10</f>
        <v>0</v>
      </c>
      <c r="AZ10" t="n">
        <f>G10*W10</f>
        <v>0</v>
      </c>
      <c r="BA10" t="n">
        <f>H10*W10</f>
        <v>0</v>
      </c>
      <c r="BB10" t="n">
        <f>I10*W10</f>
        <v>0</v>
      </c>
      <c r="BC10" t="n">
        <f>J10*W10</f>
        <v>0</v>
      </c>
      <c r="BD10" t="n">
        <f>K10*W10</f>
        <v>0</v>
      </c>
      <c r="BE10" t="n">
        <f>L10*W10</f>
        <v>0</v>
      </c>
      <c r="BF10" t="n">
        <f>M10*W10</f>
        <v>0</v>
      </c>
      <c r="BG10" t="n">
        <f>N10*W10</f>
        <v>0</v>
      </c>
      <c r="BH10" t="n">
        <f>O10*W10</f>
        <v>0</v>
      </c>
      <c r="BI10" t="n">
        <f>P10*W10</f>
        <v>0</v>
      </c>
      <c r="BJ10" t="n">
        <f>Q10*W10</f>
        <v>0</v>
      </c>
      <c r="BM10" t="n">
        <f>IF(OR(Personnes!$A10="",1&gt;Paramètres!$B$9),0,MAX(0,SUMIF($B$8:$B$247,Personnes!$A10,$E$8:$E$247)-'Planning par personne'!C10))</f>
        <v>0</v>
      </c>
      <c r="BN10" t="n">
        <f>IF(OR(Personnes!$A10="",2&gt;Paramètres!$B$9),0,MAX(0,SUMIF($B$8:$B$247,Personnes!$A10,$F$8:$F$247)-'Planning par personne'!D10))</f>
        <v>0</v>
      </c>
      <c r="BO10" t="n">
        <f>IF(OR(Personnes!$A10="",3&gt;Paramètres!$B$9),0,MAX(0,SUMIF($B$8:$B$247,Personnes!$A10,$G$8:$G$247)-'Planning par personne'!E10))</f>
        <v>0</v>
      </c>
      <c r="BP10" t="n">
        <f>IF(OR(Personnes!$A10="",4&gt;Paramètres!$B$9),0,MAX(0,SUMIF($B$8:$B$247,Personnes!$A10,$H$8:$H$247)-'Planning par personne'!F10))</f>
        <v>0</v>
      </c>
      <c r="BQ10" t="n">
        <f>IF(OR(Personnes!$A10="",5&gt;Paramètres!$B$9),0,MAX(0,SUMIF($B$8:$B$247,Personnes!$A10,$I$8:$I$247)-'Planning par personne'!G10))</f>
        <v>0</v>
      </c>
      <c r="BR10" t="n">
        <f>IF(OR(Personnes!$A10="",6&gt;Paramètres!$B$9),0,MAX(0,SUMIF($B$8:$B$247,Personnes!$A10,$J$8:$J$247)-'Planning par personne'!H10))</f>
        <v>0</v>
      </c>
      <c r="BS10" t="n">
        <f>IF(OR(Personnes!$A10="",7&gt;Paramètres!$B$9),0,MAX(0,SUMIF($B$8:$B$247,Personnes!$A10,$K$8:$K$247)-'Planning par personne'!I10))</f>
        <v>0</v>
      </c>
      <c r="BT10" t="n">
        <f>IF(OR(Personnes!$A10="",8&gt;Paramètres!$B$9),0,MAX(0,SUMIF($B$8:$B$247,Personnes!$A10,$L$8:$L$247)-'Planning par personne'!J10))</f>
        <v>0</v>
      </c>
      <c r="BU10" t="n">
        <f>IF(OR(Personnes!$A10="",9&gt;Paramètres!$B$9),0,MAX(0,SUMIF($B$8:$B$247,Personnes!$A10,$M$8:$M$247)-'Planning par personne'!K10))</f>
        <v>0</v>
      </c>
      <c r="BV10" t="n">
        <f>IF(OR(Personnes!$A10="",10&gt;Paramètres!$B$9),0,MAX(0,SUMIF($B$8:$B$247,Personnes!$A10,$N$8:$N$247)-'Planning par personne'!L10))</f>
        <v>0</v>
      </c>
      <c r="BW10" t="n">
        <f>IF(OR(Personnes!$A10="",11&gt;Paramètres!$B$9),0,MAX(0,SUMIF($B$8:$B$247,Personnes!$A10,$O$8:$O$247)-'Planning par personne'!M10))</f>
        <v>0</v>
      </c>
      <c r="BX10" t="n">
        <f>IF(OR(Personnes!$A10="",12&gt;Paramètres!$B$9),0,MAX(0,SUMIF($B$8:$B$247,Personnes!$A10,$P$8:$P$247)-'Planning par personne'!N10))</f>
        <v>0</v>
      </c>
      <c r="BY10" t="n">
        <f>IF(OR(Personnes!$A10="",13&gt;Paramètres!$B$9),0,MAX(0,SUMIF($B$8:$B$247,Personnes!$A10,$Q$8:$Q$247)-'Planning par personne'!O10))</f>
        <v>0</v>
      </c>
      <c r="BZ10" t="n">
        <f>IF(OR(Personnes!$A10="",1&gt;Paramètres!$B$9),0,MAX(0,SUMIF($B$8:$B$247,Personnes!$A10,$AK$8:$AK$247)-'Planning par personne'!C10))</f>
        <v>0</v>
      </c>
      <c r="CA10" t="n">
        <f>IF(OR(Personnes!$A10="",2&gt;Paramètres!$B$9),0,MAX(0,SUMIF($B$8:$B$247,Personnes!$A10,$AL$8:$AL$247)-'Planning par personne'!D10))</f>
        <v>0</v>
      </c>
      <c r="CB10" t="n">
        <f>IF(OR(Personnes!$A10="",3&gt;Paramètres!$B$9),0,MAX(0,SUMIF($B$8:$B$247,Personnes!$A10,$AM$8:$AM$247)-'Planning par personne'!E10))</f>
        <v>0</v>
      </c>
      <c r="CC10" t="n">
        <f>IF(OR(Personnes!$A10="",4&gt;Paramètres!$B$9),0,MAX(0,SUMIF($B$8:$B$247,Personnes!$A10,$AN$8:$AN$247)-'Planning par personne'!F10))</f>
        <v>0</v>
      </c>
      <c r="CD10" t="n">
        <f>IF(OR(Personnes!$A10="",5&gt;Paramètres!$B$9),0,MAX(0,SUMIF($B$8:$B$247,Personnes!$A10,$AO$8:$AO$247)-'Planning par personne'!G10))</f>
        <v>0</v>
      </c>
      <c r="CE10" t="n">
        <f>IF(OR(Personnes!$A10="",6&gt;Paramètres!$B$9),0,MAX(0,SUMIF($B$8:$B$247,Personnes!$A10,$AP$8:$AP$247)-'Planning par personne'!H10))</f>
        <v>0</v>
      </c>
      <c r="CF10" t="n">
        <f>IF(OR(Personnes!$A10="",7&gt;Paramètres!$B$9),0,MAX(0,SUMIF($B$8:$B$247,Personnes!$A10,$AQ$8:$AQ$247)-'Planning par personne'!I10))</f>
        <v>0</v>
      </c>
      <c r="CG10" t="n">
        <f>IF(OR(Personnes!$A10="",8&gt;Paramètres!$B$9),0,MAX(0,SUMIF($B$8:$B$247,Personnes!$A10,$AR$8:$AR$247)-'Planning par personne'!J10))</f>
        <v>0</v>
      </c>
      <c r="CH10" t="n">
        <f>IF(OR(Personnes!$A10="",9&gt;Paramètres!$B$9),0,MAX(0,SUMIF($B$8:$B$247,Personnes!$A10,$AS$8:$AS$247)-'Planning par personne'!K10))</f>
        <v>0</v>
      </c>
      <c r="CI10" t="n">
        <f>IF(OR(Personnes!$A10="",10&gt;Paramètres!$B$9),0,MAX(0,SUMIF($B$8:$B$247,Personnes!$A10,$AT$8:$AT$247)-'Planning par personne'!L10))</f>
        <v>0</v>
      </c>
      <c r="CJ10" t="n">
        <f>IF(OR(Personnes!$A10="",11&gt;Paramètres!$B$9),0,MAX(0,SUMIF($B$8:$B$247,Personnes!$A10,$AU$8:$AU$247)-'Planning par personne'!M10))</f>
        <v>0</v>
      </c>
      <c r="CK10" t="n">
        <f>IF(OR(Personnes!$A10="",12&gt;Paramètres!$B$9),0,MAX(0,SUMIF($B$8:$B$247,Personnes!$A10,$AV$8:$AV$247)-'Planning par personne'!N10))</f>
        <v>0</v>
      </c>
      <c r="CL10" t="n">
        <f>IF(OR(Personnes!$A10="",13&gt;Paramètres!$B$9),0,MAX(0,SUMIF($B$8:$B$247,Personnes!$A10,$AW$8:$AW$247)-'Planning par personne'!O10))</f>
        <v>0</v>
      </c>
      <c r="CM10" t="n">
        <f>IF(OR(Personnes!$A10="",1&gt;Paramètres!$B$9),0,MAX(0,SUMIF($B$8:$B$247,Personnes!$A10,$AX$8:$AX$247)-'Planning par personne'!C10))</f>
        <v>0</v>
      </c>
      <c r="CN10" t="n">
        <f>IF(OR(Personnes!$A10="",2&gt;Paramètres!$B$9),0,MAX(0,SUMIF($B$8:$B$247,Personnes!$A10,$AY$8:$AY$247)-'Planning par personne'!D10))</f>
        <v>0</v>
      </c>
      <c r="CO10" t="n">
        <f>IF(OR(Personnes!$A10="",3&gt;Paramètres!$B$9),0,MAX(0,SUMIF($B$8:$B$247,Personnes!$A10,$AZ$8:$AZ$247)-'Planning par personne'!E10))</f>
        <v>0</v>
      </c>
      <c r="CP10" t="n">
        <f>IF(OR(Personnes!$A10="",4&gt;Paramètres!$B$9),0,MAX(0,SUMIF($B$8:$B$247,Personnes!$A10,$BA$8:$BA$247)-'Planning par personne'!F10))</f>
        <v>0</v>
      </c>
      <c r="CQ10" t="n">
        <f>IF(OR(Personnes!$A10="",5&gt;Paramètres!$B$9),0,MAX(0,SUMIF($B$8:$B$247,Personnes!$A10,$BB$8:$BB$247)-'Planning par personne'!G10))</f>
        <v>0</v>
      </c>
      <c r="CR10" t="n">
        <f>IF(OR(Personnes!$A10="",6&gt;Paramètres!$B$9),0,MAX(0,SUMIF($B$8:$B$247,Personnes!$A10,$BC$8:$BC$247)-'Planning par personne'!H10))</f>
        <v>0</v>
      </c>
      <c r="CS10" t="n">
        <f>IF(OR(Personnes!$A10="",7&gt;Paramètres!$B$9),0,MAX(0,SUMIF($B$8:$B$247,Personnes!$A10,$BD$8:$BD$247)-'Planning par personne'!I10))</f>
        <v>0</v>
      </c>
      <c r="CT10" t="n">
        <f>IF(OR(Personnes!$A10="",8&gt;Paramètres!$B$9),0,MAX(0,SUMIF($B$8:$B$247,Personnes!$A10,$BE$8:$BE$247)-'Planning par personne'!J10))</f>
        <v>0</v>
      </c>
      <c r="CU10" t="n">
        <f>IF(OR(Personnes!$A10="",9&gt;Paramètres!$B$9),0,MAX(0,SUMIF($B$8:$B$247,Personnes!$A10,$BF$8:$BF$247)-'Planning par personne'!K10))</f>
        <v>0</v>
      </c>
      <c r="CV10" t="n">
        <f>IF(OR(Personnes!$A10="",10&gt;Paramètres!$B$9),0,MAX(0,SUMIF($B$8:$B$247,Personnes!$A10,$BG$8:$BG$247)-'Planning par personne'!L10))</f>
        <v>0</v>
      </c>
      <c r="CW10" t="n">
        <f>IF(OR(Personnes!$A10="",11&gt;Paramètres!$B$9),0,MAX(0,SUMIF($B$8:$B$247,Personnes!$A10,$BH$8:$BH$247)-'Planning par personne'!M10))</f>
        <v>0</v>
      </c>
      <c r="CX10" t="n">
        <f>IF(OR(Personnes!$A10="",12&gt;Paramètres!$B$9),0,MAX(0,SUMIF($B$8:$B$247,Personnes!$A10,$BI$8:$BI$247)-'Planning par personne'!N10))</f>
        <v>0</v>
      </c>
      <c r="CY10" t="n">
        <f>IF(OR(Personnes!$A10="",13&gt;Paramètres!$B$9),0,MAX(0,SUMIF($B$8:$B$247,Personnes!$A10,$BJ$8:$BJ$247)-'Planning par personne'!O10))</f>
        <v>0</v>
      </c>
      <c r="DJ10" t="n">
        <f>SUM(BM10:BY10)</f>
        <v>0</v>
      </c>
      <c r="DK10" t="n">
        <f>SUM(BZ10:CL10)</f>
        <v>0</v>
      </c>
      <c r="DL10" t="n">
        <f>SUM(CM10:CY10)</f>
        <v>0</v>
      </c>
      <c r="DM10" t="str">
        <f>IF(AND(Projets!A10&lt;&gt;"",Projets!G10="Engager"),DM9&amp;IF(DM9="","",", ")&amp;Projets!B10,DM9)</f>
        <v/>
      </c>
      <c r="DN10" t="str">
        <f>IF(AND(Projets!A10&lt;&gt;"",Projets!G10="Reporter"),DN9&amp;IF(DN9="","",", ")&amp;Projets!B10,DN9)</f>
        <v/>
      </c>
    </row>
    <row r="11">
      <c r="A11" t="n">
        <f>Charges!A11</f>
        <v>0</v>
      </c>
      <c r="B11" t="n">
        <f>Charges!C11</f>
        <v>0</v>
      </c>
      <c r="C11" t="str">
        <f>Charges!D11</f>
        <v/>
      </c>
      <c r="E11" t="n">
        <f>IF(1&lt;=Paramètres!$B$9,MAX(0,IFERROR(N(IF(ISNUMBER(Charges!F11),MAX(0,Charges!F11),IFERROR(VLOOKUP(Charges!F11,Paramètres!$A$15:$B$18,2,FALSE),0))),0)),0)</f>
        <v>0</v>
      </c>
      <c r="F11" t="n">
        <f>IF(2&lt;=Paramètres!$B$9,MAX(0,IFERROR(N(IF(ISNUMBER(Charges!G11),MAX(0,Charges!G11),IFERROR(VLOOKUP(Charges!G11,Paramètres!$A$15:$B$18,2,FALSE),0))),0)),0)</f>
        <v>0</v>
      </c>
      <c r="G11" t="n">
        <f>IF(3&lt;=Paramètres!$B$9,MAX(0,IFERROR(N(IF(ISNUMBER(Charges!H11),MAX(0,Charges!H11),IFERROR(VLOOKUP(Charges!H11,Paramètres!$A$15:$B$18,2,FALSE),0))),0)),0)</f>
        <v>0</v>
      </c>
      <c r="H11" t="n">
        <f>IF(4&lt;=Paramètres!$B$9,MAX(0,IFERROR(N(IF(ISNUMBER(Charges!I11),MAX(0,Charges!I11),IFERROR(VLOOKUP(Charges!I11,Paramètres!$A$15:$B$18,2,FALSE),0))),0)),0)</f>
        <v>0</v>
      </c>
      <c r="I11" t="n">
        <f>IF(5&lt;=Paramètres!$B$9,MAX(0,IFERROR(N(IF(ISNUMBER(Charges!J11),MAX(0,Charges!J11),IFERROR(VLOOKUP(Charges!J11,Paramètres!$A$15:$B$18,2,FALSE),0))),0)),0)</f>
        <v>0</v>
      </c>
      <c r="J11" t="n">
        <f>IF(6&lt;=Paramètres!$B$9,MAX(0,IFERROR(N(IF(ISNUMBER(Charges!K11),MAX(0,Charges!K11),IFERROR(VLOOKUP(Charges!K11,Paramètres!$A$15:$B$18,2,FALSE),0))),0)),0)</f>
        <v>0</v>
      </c>
      <c r="K11" t="n">
        <f>IF(7&lt;=Paramètres!$B$9,MAX(0,IFERROR(N(IF(ISNUMBER(Charges!L11),MAX(0,Charges!L11),IFERROR(VLOOKUP(Charges!L11,Paramètres!$A$15:$B$18,2,FALSE),0))),0)),0)</f>
        <v>0</v>
      </c>
      <c r="L11" t="n">
        <f>IF(8&lt;=Paramètres!$B$9,MAX(0,IFERROR(N(IF(ISNUMBER(Charges!M11),MAX(0,Charges!M11),IFERROR(VLOOKUP(Charges!M11,Paramètres!$A$15:$B$18,2,FALSE),0))),0)),0)</f>
        <v>0</v>
      </c>
      <c r="M11" t="n">
        <f>IF(9&lt;=Paramètres!$B$9,MAX(0,IFERROR(N(IF(ISNUMBER(Charges!N11),MAX(0,Charges!N11),IFERROR(VLOOKUP(Charges!N11,Paramètres!$A$15:$B$18,2,FALSE),0))),0)),0)</f>
        <v>0</v>
      </c>
      <c r="N11" t="n">
        <f>IF(10&lt;=Paramètres!$B$9,MAX(0,IFERROR(N(IF(ISNUMBER(Charges!O11),MAX(0,Charges!O11),IFERROR(VLOOKUP(Charges!O11,Paramètres!$A$15:$B$18,2,FALSE),0))),0)),0)</f>
        <v>0</v>
      </c>
      <c r="O11" t="n">
        <f>IF(11&lt;=Paramètres!$B$9,MAX(0,IFERROR(N(IF(ISNUMBER(Charges!P11),MAX(0,Charges!P11),IFERROR(VLOOKUP(Charges!P11,Paramètres!$A$15:$B$18,2,FALSE),0))),0)),0)</f>
        <v>0</v>
      </c>
      <c r="P11" t="n">
        <f>IF(12&lt;=Paramètres!$B$9,MAX(0,IFERROR(N(IF(ISNUMBER(Charges!Q11),MAX(0,Charges!Q11),IFERROR(VLOOKUP(Charges!Q11,Paramètres!$A$15:$B$18,2,FALSE),0))),0)),0)</f>
        <v>0</v>
      </c>
      <c r="Q11" t="n">
        <f>IF(13&lt;=Paramètres!$B$9,MAX(0,IFERROR(N(IF(ISNUMBER(Charges!R11),MAX(0,Charges!R11),IFERROR(VLOOKUP(Charges!R11,Paramètres!$A$15:$B$18,2,FALSE),0))),0)),0)</f>
        <v>0</v>
      </c>
      <c r="R11" t="n">
        <f>SUM(E11:Q11)</f>
        <v>0</v>
      </c>
      <c r="S11" t="n">
        <f>IF(IFERROR(VLOOKUP(A11,'Projets'!$A$8:$Z$67,7,FALSE),"")="Engager",1,0)</f>
        <v>0</v>
      </c>
      <c r="T11" t="n">
        <f>IF(OR(Charges!F11="",AND(ISNUMBER(Charges!F11),Charges!F11&gt;=0),Charges!F11="S",Charges!F11="M",Charges!F11="L",Charges!F11="XL"),0,1)+IF(OR(Charges!G11="",AND(ISNUMBER(Charges!G11),Charges!G11&gt;=0),Charges!G11="S",Charges!G11="M",Charges!G11="L",Charges!G11="XL"),0,1)+IF(OR(Charges!H11="",AND(ISNUMBER(Charges!H11),Charges!H11&gt;=0),Charges!H11="S",Charges!H11="M",Charges!H11="L",Charges!H11="XL"),0,1)+IF(OR(Charges!I11="",AND(ISNUMBER(Charges!I11),Charges!I11&gt;=0),Charges!I11="S",Charges!I11="M",Charges!I11="L",Charges!I11="XL"),0,1)+IF(OR(Charges!J11="",AND(ISNUMBER(Charges!J11),Charges!J11&gt;=0),Charges!J11="S",Charges!J11="M",Charges!J11="L",Charges!J11="XL"),0,1)+IF(OR(Charges!K11="",AND(ISNUMBER(Charges!K11),Charges!K11&gt;=0),Charges!K11="S",Charges!K11="M",Charges!K11="L",Charges!K11="XL"),0,1)+IF(OR(Charges!L11="",AND(ISNUMBER(Charges!L11),Charges!L11&gt;=0),Charges!L11="S",Charges!L11="M",Charges!L11="L",Charges!L11="XL"),0,1)+IF(OR(Charges!M11="",AND(ISNUMBER(Charges!M11),Charges!M11&gt;=0),Charges!M11="S",Charges!M11="M",Charges!M11="L",Charges!M11="XL"),0,1)+IF(OR(Charges!N11="",AND(ISNUMBER(Charges!N11),Charges!N11&gt;=0),Charges!N11="S",Charges!N11="M",Charges!N11="L",Charges!N11="XL"),0,1)+IF(OR(Charges!O11="",AND(ISNUMBER(Charges!O11),Charges!O11&gt;=0),Charges!O11="S",Charges!O11="M",Charges!O11="L",Charges!O11="XL"),0,1)+IF(OR(Charges!P11="",AND(ISNUMBER(Charges!P11),Charges!P11&gt;=0),Charges!P11="S",Charges!P11="M",Charges!P11="L",Charges!P11="XL"),0,1)+IF(OR(Charges!Q11="",AND(ISNUMBER(Charges!Q11),Charges!Q11&gt;=0),Charges!Q11="S",Charges!Q11="M",Charges!Q11="L",Charges!Q11="XL"),0,1)+IF(OR(Charges!R11="",AND(ISNUMBER(Charges!R11),Charges!R11&gt;=0),Charges!R11="S",Charges!R11="M",Charges!R11="L",Charges!R11="XL"),0,1)</f>
        <v>0</v>
      </c>
      <c r="U11" t="n">
        <f>IF(AND(1&gt;Paramètres!$B$9,Charges!F11&lt;&gt;"",Charges!F11&lt;&gt;0),1,0)+IF(AND(2&gt;Paramètres!$B$9,Charges!G11&lt;&gt;"",Charges!G11&lt;&gt;0),1,0)+IF(AND(3&gt;Paramètres!$B$9,Charges!H11&lt;&gt;"",Charges!H11&lt;&gt;0),1,0)+IF(AND(4&gt;Paramètres!$B$9,Charges!I11&lt;&gt;"",Charges!I11&lt;&gt;0),1,0)+IF(AND(5&gt;Paramètres!$B$9,Charges!J11&lt;&gt;"",Charges!J11&lt;&gt;0),1,0)+IF(AND(6&gt;Paramètres!$B$9,Charges!K11&lt;&gt;"",Charges!K11&lt;&gt;0),1,0)+IF(AND(7&gt;Paramètres!$B$9,Charges!L11&lt;&gt;"",Charges!L11&lt;&gt;0),1,0)+IF(AND(8&gt;Paramètres!$B$9,Charges!M11&lt;&gt;"",Charges!M11&lt;&gt;0),1,0)+IF(AND(9&gt;Paramètres!$B$9,Charges!N11&lt;&gt;"",Charges!N11&lt;&gt;0),1,0)+IF(AND(10&gt;Paramètres!$B$9,Charges!O11&lt;&gt;"",Charges!O11&lt;&gt;0),1,0)+IF(AND(11&gt;Paramètres!$B$9,Charges!P11&lt;&gt;"",Charges!P11&lt;&gt;0),1,0)+IF(AND(12&gt;Paramètres!$B$9,Charges!Q11&lt;&gt;"",Charges!Q11&lt;&gt;0),1,0)+IF(AND(13&gt;Paramètres!$B$9,Charges!R11&lt;&gt;"",Charges!R11&lt;&gt;0),1,0)</f>
        <v>0</v>
      </c>
      <c r="V11" t="n">
        <f>IF(IFERROR(VLOOKUP(A11,'Projets'!$A$8:$Z$67,5,FALSE),"")="Engager",1,0)</f>
        <v>0</v>
      </c>
      <c r="W11" t="n">
        <f>IF(IFERROR(VLOOKUP(A11,'Projets'!$A$8:$Z$67,6,FALSE),"")="Engager",1,0)</f>
        <v>0</v>
      </c>
      <c r="X11" t="n">
        <f>E11*S11</f>
        <v>0</v>
      </c>
      <c r="Y11" t="n">
        <f>F11*S11</f>
        <v>0</v>
      </c>
      <c r="Z11" t="n">
        <f>G11*S11</f>
        <v>0</v>
      </c>
      <c r="AA11" t="n">
        <f>H11*S11</f>
        <v>0</v>
      </c>
      <c r="AB11" t="n">
        <f>I11*S11</f>
        <v>0</v>
      </c>
      <c r="AC11" t="n">
        <f>J11*S11</f>
        <v>0</v>
      </c>
      <c r="AD11" t="n">
        <f>K11*S11</f>
        <v>0</v>
      </c>
      <c r="AE11" t="n">
        <f>L11*S11</f>
        <v>0</v>
      </c>
      <c r="AF11" t="n">
        <f>M11*S11</f>
        <v>0</v>
      </c>
      <c r="AG11" t="n">
        <f>N11*S11</f>
        <v>0</v>
      </c>
      <c r="AH11" t="n">
        <f>O11*S11</f>
        <v>0</v>
      </c>
      <c r="AI11" t="n">
        <f>P11*S11</f>
        <v>0</v>
      </c>
      <c r="AJ11" t="n">
        <f>Q11*S11</f>
        <v>0</v>
      </c>
      <c r="AK11" t="n">
        <f>E11*V11</f>
        <v>0</v>
      </c>
      <c r="AL11" t="n">
        <f>F11*V11</f>
        <v>0</v>
      </c>
      <c r="AM11" t="n">
        <f>G11*V11</f>
        <v>0</v>
      </c>
      <c r="AN11" t="n">
        <f>H11*V11</f>
        <v>0</v>
      </c>
      <c r="AO11" t="n">
        <f>I11*V11</f>
        <v>0</v>
      </c>
      <c r="AP11" t="n">
        <f>J11*V11</f>
        <v>0</v>
      </c>
      <c r="AQ11" t="n">
        <f>K11*V11</f>
        <v>0</v>
      </c>
      <c r="AR11" t="n">
        <f>L11*V11</f>
        <v>0</v>
      </c>
      <c r="AS11" t="n">
        <f>M11*V11</f>
        <v>0</v>
      </c>
      <c r="AT11" t="n">
        <f>N11*V11</f>
        <v>0</v>
      </c>
      <c r="AU11" t="n">
        <f>O11*V11</f>
        <v>0</v>
      </c>
      <c r="AV11" t="n">
        <f>P11*V11</f>
        <v>0</v>
      </c>
      <c r="AW11" t="n">
        <f>Q11*V11</f>
        <v>0</v>
      </c>
      <c r="AX11" t="n">
        <f>E11*W11</f>
        <v>0</v>
      </c>
      <c r="AY11" t="n">
        <f>F11*W11</f>
        <v>0</v>
      </c>
      <c r="AZ11" t="n">
        <f>G11*W11</f>
        <v>0</v>
      </c>
      <c r="BA11" t="n">
        <f>H11*W11</f>
        <v>0</v>
      </c>
      <c r="BB11" t="n">
        <f>I11*W11</f>
        <v>0</v>
      </c>
      <c r="BC11" t="n">
        <f>J11*W11</f>
        <v>0</v>
      </c>
      <c r="BD11" t="n">
        <f>K11*W11</f>
        <v>0</v>
      </c>
      <c r="BE11" t="n">
        <f>L11*W11</f>
        <v>0</v>
      </c>
      <c r="BF11" t="n">
        <f>M11*W11</f>
        <v>0</v>
      </c>
      <c r="BG11" t="n">
        <f>N11*W11</f>
        <v>0</v>
      </c>
      <c r="BH11" t="n">
        <f>O11*W11</f>
        <v>0</v>
      </c>
      <c r="BI11" t="n">
        <f>P11*W11</f>
        <v>0</v>
      </c>
      <c r="BJ11" t="n">
        <f>Q11*W11</f>
        <v>0</v>
      </c>
      <c r="BM11" t="n">
        <f>IF(OR(Personnes!$A11="",1&gt;Paramètres!$B$9),0,MAX(0,SUMIF($B$8:$B$247,Personnes!$A11,$E$8:$E$247)-'Planning par personne'!C11))</f>
        <v>0</v>
      </c>
      <c r="BN11" t="n">
        <f>IF(OR(Personnes!$A11="",2&gt;Paramètres!$B$9),0,MAX(0,SUMIF($B$8:$B$247,Personnes!$A11,$F$8:$F$247)-'Planning par personne'!D11))</f>
        <v>0</v>
      </c>
      <c r="BO11" t="n">
        <f>IF(OR(Personnes!$A11="",3&gt;Paramètres!$B$9),0,MAX(0,SUMIF($B$8:$B$247,Personnes!$A11,$G$8:$G$247)-'Planning par personne'!E11))</f>
        <v>0</v>
      </c>
      <c r="BP11" t="n">
        <f>IF(OR(Personnes!$A11="",4&gt;Paramètres!$B$9),0,MAX(0,SUMIF($B$8:$B$247,Personnes!$A11,$H$8:$H$247)-'Planning par personne'!F11))</f>
        <v>0</v>
      </c>
      <c r="BQ11" t="n">
        <f>IF(OR(Personnes!$A11="",5&gt;Paramètres!$B$9),0,MAX(0,SUMIF($B$8:$B$247,Personnes!$A11,$I$8:$I$247)-'Planning par personne'!G11))</f>
        <v>0</v>
      </c>
      <c r="BR11" t="n">
        <f>IF(OR(Personnes!$A11="",6&gt;Paramètres!$B$9),0,MAX(0,SUMIF($B$8:$B$247,Personnes!$A11,$J$8:$J$247)-'Planning par personne'!H11))</f>
        <v>0</v>
      </c>
      <c r="BS11" t="n">
        <f>IF(OR(Personnes!$A11="",7&gt;Paramètres!$B$9),0,MAX(0,SUMIF($B$8:$B$247,Personnes!$A11,$K$8:$K$247)-'Planning par personne'!I11))</f>
        <v>0</v>
      </c>
      <c r="BT11" t="n">
        <f>IF(OR(Personnes!$A11="",8&gt;Paramètres!$B$9),0,MAX(0,SUMIF($B$8:$B$247,Personnes!$A11,$L$8:$L$247)-'Planning par personne'!J11))</f>
        <v>0</v>
      </c>
      <c r="BU11" t="n">
        <f>IF(OR(Personnes!$A11="",9&gt;Paramètres!$B$9),0,MAX(0,SUMIF($B$8:$B$247,Personnes!$A11,$M$8:$M$247)-'Planning par personne'!K11))</f>
        <v>0</v>
      </c>
      <c r="BV11" t="n">
        <f>IF(OR(Personnes!$A11="",10&gt;Paramètres!$B$9),0,MAX(0,SUMIF($B$8:$B$247,Personnes!$A11,$N$8:$N$247)-'Planning par personne'!L11))</f>
        <v>0</v>
      </c>
      <c r="BW11" t="n">
        <f>IF(OR(Personnes!$A11="",11&gt;Paramètres!$B$9),0,MAX(0,SUMIF($B$8:$B$247,Personnes!$A11,$O$8:$O$247)-'Planning par personne'!M11))</f>
        <v>0</v>
      </c>
      <c r="BX11" t="n">
        <f>IF(OR(Personnes!$A11="",12&gt;Paramètres!$B$9),0,MAX(0,SUMIF($B$8:$B$247,Personnes!$A11,$P$8:$P$247)-'Planning par personne'!N11))</f>
        <v>0</v>
      </c>
      <c r="BY11" t="n">
        <f>IF(OR(Personnes!$A11="",13&gt;Paramètres!$B$9),0,MAX(0,SUMIF($B$8:$B$247,Personnes!$A11,$Q$8:$Q$247)-'Planning par personne'!O11))</f>
        <v>0</v>
      </c>
      <c r="BZ11" t="n">
        <f>IF(OR(Personnes!$A11="",1&gt;Paramètres!$B$9),0,MAX(0,SUMIF($B$8:$B$247,Personnes!$A11,$AK$8:$AK$247)-'Planning par personne'!C11))</f>
        <v>0</v>
      </c>
      <c r="CA11" t="n">
        <f>IF(OR(Personnes!$A11="",2&gt;Paramètres!$B$9),0,MAX(0,SUMIF($B$8:$B$247,Personnes!$A11,$AL$8:$AL$247)-'Planning par personne'!D11))</f>
        <v>0</v>
      </c>
      <c r="CB11" t="n">
        <f>IF(OR(Personnes!$A11="",3&gt;Paramètres!$B$9),0,MAX(0,SUMIF($B$8:$B$247,Personnes!$A11,$AM$8:$AM$247)-'Planning par personne'!E11))</f>
        <v>0</v>
      </c>
      <c r="CC11" t="n">
        <f>IF(OR(Personnes!$A11="",4&gt;Paramètres!$B$9),0,MAX(0,SUMIF($B$8:$B$247,Personnes!$A11,$AN$8:$AN$247)-'Planning par personne'!F11))</f>
        <v>0</v>
      </c>
      <c r="CD11" t="n">
        <f>IF(OR(Personnes!$A11="",5&gt;Paramètres!$B$9),0,MAX(0,SUMIF($B$8:$B$247,Personnes!$A11,$AO$8:$AO$247)-'Planning par personne'!G11))</f>
        <v>0</v>
      </c>
      <c r="CE11" t="n">
        <f>IF(OR(Personnes!$A11="",6&gt;Paramètres!$B$9),0,MAX(0,SUMIF($B$8:$B$247,Personnes!$A11,$AP$8:$AP$247)-'Planning par personne'!H11))</f>
        <v>0</v>
      </c>
      <c r="CF11" t="n">
        <f>IF(OR(Personnes!$A11="",7&gt;Paramètres!$B$9),0,MAX(0,SUMIF($B$8:$B$247,Personnes!$A11,$AQ$8:$AQ$247)-'Planning par personne'!I11))</f>
        <v>0</v>
      </c>
      <c r="CG11" t="n">
        <f>IF(OR(Personnes!$A11="",8&gt;Paramètres!$B$9),0,MAX(0,SUMIF($B$8:$B$247,Personnes!$A11,$AR$8:$AR$247)-'Planning par personne'!J11))</f>
        <v>0</v>
      </c>
      <c r="CH11" t="n">
        <f>IF(OR(Personnes!$A11="",9&gt;Paramètres!$B$9),0,MAX(0,SUMIF($B$8:$B$247,Personnes!$A11,$AS$8:$AS$247)-'Planning par personne'!K11))</f>
        <v>0</v>
      </c>
      <c r="CI11" t="n">
        <f>IF(OR(Personnes!$A11="",10&gt;Paramètres!$B$9),0,MAX(0,SUMIF($B$8:$B$247,Personnes!$A11,$AT$8:$AT$247)-'Planning par personne'!L11))</f>
        <v>0</v>
      </c>
      <c r="CJ11" t="n">
        <f>IF(OR(Personnes!$A11="",11&gt;Paramètres!$B$9),0,MAX(0,SUMIF($B$8:$B$247,Personnes!$A11,$AU$8:$AU$247)-'Planning par personne'!M11))</f>
        <v>0</v>
      </c>
      <c r="CK11" t="n">
        <f>IF(OR(Personnes!$A11="",12&gt;Paramètres!$B$9),0,MAX(0,SUMIF($B$8:$B$247,Personnes!$A11,$AV$8:$AV$247)-'Planning par personne'!N11))</f>
        <v>0</v>
      </c>
      <c r="CL11" t="n">
        <f>IF(OR(Personnes!$A11="",13&gt;Paramètres!$B$9),0,MAX(0,SUMIF($B$8:$B$247,Personnes!$A11,$AW$8:$AW$247)-'Planning par personne'!O11))</f>
        <v>0</v>
      </c>
      <c r="CM11" t="n">
        <f>IF(OR(Personnes!$A11="",1&gt;Paramètres!$B$9),0,MAX(0,SUMIF($B$8:$B$247,Personnes!$A11,$AX$8:$AX$247)-'Planning par personne'!C11))</f>
        <v>0</v>
      </c>
      <c r="CN11" t="n">
        <f>IF(OR(Personnes!$A11="",2&gt;Paramètres!$B$9),0,MAX(0,SUMIF($B$8:$B$247,Personnes!$A11,$AY$8:$AY$247)-'Planning par personne'!D11))</f>
        <v>0</v>
      </c>
      <c r="CO11" t="n">
        <f>IF(OR(Personnes!$A11="",3&gt;Paramètres!$B$9),0,MAX(0,SUMIF($B$8:$B$247,Personnes!$A11,$AZ$8:$AZ$247)-'Planning par personne'!E11))</f>
        <v>0</v>
      </c>
      <c r="CP11" t="n">
        <f>IF(OR(Personnes!$A11="",4&gt;Paramètres!$B$9),0,MAX(0,SUMIF($B$8:$B$247,Personnes!$A11,$BA$8:$BA$247)-'Planning par personne'!F11))</f>
        <v>0</v>
      </c>
      <c r="CQ11" t="n">
        <f>IF(OR(Personnes!$A11="",5&gt;Paramètres!$B$9),0,MAX(0,SUMIF($B$8:$B$247,Personnes!$A11,$BB$8:$BB$247)-'Planning par personne'!G11))</f>
        <v>0</v>
      </c>
      <c r="CR11" t="n">
        <f>IF(OR(Personnes!$A11="",6&gt;Paramètres!$B$9),0,MAX(0,SUMIF($B$8:$B$247,Personnes!$A11,$BC$8:$BC$247)-'Planning par personne'!H11))</f>
        <v>0</v>
      </c>
      <c r="CS11" t="n">
        <f>IF(OR(Personnes!$A11="",7&gt;Paramètres!$B$9),0,MAX(0,SUMIF($B$8:$B$247,Personnes!$A11,$BD$8:$BD$247)-'Planning par personne'!I11))</f>
        <v>0</v>
      </c>
      <c r="CT11" t="n">
        <f>IF(OR(Personnes!$A11="",8&gt;Paramètres!$B$9),0,MAX(0,SUMIF($B$8:$B$247,Personnes!$A11,$BE$8:$BE$247)-'Planning par personne'!J11))</f>
        <v>0</v>
      </c>
      <c r="CU11" t="n">
        <f>IF(OR(Personnes!$A11="",9&gt;Paramètres!$B$9),0,MAX(0,SUMIF($B$8:$B$247,Personnes!$A11,$BF$8:$BF$247)-'Planning par personne'!K11))</f>
        <v>0</v>
      </c>
      <c r="CV11" t="n">
        <f>IF(OR(Personnes!$A11="",10&gt;Paramètres!$B$9),0,MAX(0,SUMIF($B$8:$B$247,Personnes!$A11,$BG$8:$BG$247)-'Planning par personne'!L11))</f>
        <v>0</v>
      </c>
      <c r="CW11" t="n">
        <f>IF(OR(Personnes!$A11="",11&gt;Paramètres!$B$9),0,MAX(0,SUMIF($B$8:$B$247,Personnes!$A11,$BH$8:$BH$247)-'Planning par personne'!M11))</f>
        <v>0</v>
      </c>
      <c r="CX11" t="n">
        <f>IF(OR(Personnes!$A11="",12&gt;Paramètres!$B$9),0,MAX(0,SUMIF($B$8:$B$247,Personnes!$A11,$BI$8:$BI$247)-'Planning par personne'!N11))</f>
        <v>0</v>
      </c>
      <c r="CY11" t="n">
        <f>IF(OR(Personnes!$A11="",13&gt;Paramètres!$B$9),0,MAX(0,SUMIF($B$8:$B$247,Personnes!$A11,$BJ$8:$BJ$247)-'Planning par personne'!O11))</f>
        <v>0</v>
      </c>
      <c r="DJ11" t="n">
        <f>SUM(BM11:BY11)</f>
        <v>0</v>
      </c>
      <c r="DK11" t="n">
        <f>SUM(BZ11:CL11)</f>
        <v>0</v>
      </c>
      <c r="DL11" t="n">
        <f>SUM(CM11:CY11)</f>
        <v>0</v>
      </c>
      <c r="DM11" t="str">
        <f>IF(AND(Projets!A11&lt;&gt;"",Projets!G11="Engager"),DM10&amp;IF(DM10="","",", ")&amp;Projets!B11,DM10)</f>
        <v/>
      </c>
      <c r="DN11" t="str">
        <f>IF(AND(Projets!A11&lt;&gt;"",Projets!G11="Reporter"),DN10&amp;IF(DN10="","",", ")&amp;Projets!B11,DN10)</f>
        <v/>
      </c>
    </row>
    <row r="12">
      <c r="A12" t="n">
        <f>Charges!A12</f>
        <v>0</v>
      </c>
      <c r="B12" t="n">
        <f>Charges!C12</f>
        <v>0</v>
      </c>
      <c r="C12" t="str">
        <f>Charges!D12</f>
        <v/>
      </c>
      <c r="E12" t="n">
        <f>IF(1&lt;=Paramètres!$B$9,MAX(0,IFERROR(N(IF(ISNUMBER(Charges!F12),MAX(0,Charges!F12),IFERROR(VLOOKUP(Charges!F12,Paramètres!$A$15:$B$18,2,FALSE),0))),0)),0)</f>
        <v>0</v>
      </c>
      <c r="F12" t="n">
        <f>IF(2&lt;=Paramètres!$B$9,MAX(0,IFERROR(N(IF(ISNUMBER(Charges!G12),MAX(0,Charges!G12),IFERROR(VLOOKUP(Charges!G12,Paramètres!$A$15:$B$18,2,FALSE),0))),0)),0)</f>
        <v>0</v>
      </c>
      <c r="G12" t="n">
        <f>IF(3&lt;=Paramètres!$B$9,MAX(0,IFERROR(N(IF(ISNUMBER(Charges!H12),MAX(0,Charges!H12),IFERROR(VLOOKUP(Charges!H12,Paramètres!$A$15:$B$18,2,FALSE),0))),0)),0)</f>
        <v>0</v>
      </c>
      <c r="H12" t="n">
        <f>IF(4&lt;=Paramètres!$B$9,MAX(0,IFERROR(N(IF(ISNUMBER(Charges!I12),MAX(0,Charges!I12),IFERROR(VLOOKUP(Charges!I12,Paramètres!$A$15:$B$18,2,FALSE),0))),0)),0)</f>
        <v>0</v>
      </c>
      <c r="I12" t="n">
        <f>IF(5&lt;=Paramètres!$B$9,MAX(0,IFERROR(N(IF(ISNUMBER(Charges!J12),MAX(0,Charges!J12),IFERROR(VLOOKUP(Charges!J12,Paramètres!$A$15:$B$18,2,FALSE),0))),0)),0)</f>
        <v>0</v>
      </c>
      <c r="J12" t="n">
        <f>IF(6&lt;=Paramètres!$B$9,MAX(0,IFERROR(N(IF(ISNUMBER(Charges!K12),MAX(0,Charges!K12),IFERROR(VLOOKUP(Charges!K12,Paramètres!$A$15:$B$18,2,FALSE),0))),0)),0)</f>
        <v>0</v>
      </c>
      <c r="K12" t="n">
        <f>IF(7&lt;=Paramètres!$B$9,MAX(0,IFERROR(N(IF(ISNUMBER(Charges!L12),MAX(0,Charges!L12),IFERROR(VLOOKUP(Charges!L12,Paramètres!$A$15:$B$18,2,FALSE),0))),0)),0)</f>
        <v>0</v>
      </c>
      <c r="L12" t="n">
        <f>IF(8&lt;=Paramètres!$B$9,MAX(0,IFERROR(N(IF(ISNUMBER(Charges!M12),MAX(0,Charges!M12),IFERROR(VLOOKUP(Charges!M12,Paramètres!$A$15:$B$18,2,FALSE),0))),0)),0)</f>
        <v>0</v>
      </c>
      <c r="M12" t="n">
        <f>IF(9&lt;=Paramètres!$B$9,MAX(0,IFERROR(N(IF(ISNUMBER(Charges!N12),MAX(0,Charges!N12),IFERROR(VLOOKUP(Charges!N12,Paramètres!$A$15:$B$18,2,FALSE),0))),0)),0)</f>
        <v>0</v>
      </c>
      <c r="N12" t="n">
        <f>IF(10&lt;=Paramètres!$B$9,MAX(0,IFERROR(N(IF(ISNUMBER(Charges!O12),MAX(0,Charges!O12),IFERROR(VLOOKUP(Charges!O12,Paramètres!$A$15:$B$18,2,FALSE),0))),0)),0)</f>
        <v>0</v>
      </c>
      <c r="O12" t="n">
        <f>IF(11&lt;=Paramètres!$B$9,MAX(0,IFERROR(N(IF(ISNUMBER(Charges!P12),MAX(0,Charges!P12),IFERROR(VLOOKUP(Charges!P12,Paramètres!$A$15:$B$18,2,FALSE),0))),0)),0)</f>
        <v>0</v>
      </c>
      <c r="P12" t="n">
        <f>IF(12&lt;=Paramètres!$B$9,MAX(0,IFERROR(N(IF(ISNUMBER(Charges!Q12),MAX(0,Charges!Q12),IFERROR(VLOOKUP(Charges!Q12,Paramètres!$A$15:$B$18,2,FALSE),0))),0)),0)</f>
        <v>0</v>
      </c>
      <c r="Q12" t="n">
        <f>IF(13&lt;=Paramètres!$B$9,MAX(0,IFERROR(N(IF(ISNUMBER(Charges!R12),MAX(0,Charges!R12),IFERROR(VLOOKUP(Charges!R12,Paramètres!$A$15:$B$18,2,FALSE),0))),0)),0)</f>
        <v>0</v>
      </c>
      <c r="R12" t="n">
        <f>SUM(E12:Q12)</f>
        <v>0</v>
      </c>
      <c r="S12" t="n">
        <f>IF(IFERROR(VLOOKUP(A12,'Projets'!$A$8:$Z$67,7,FALSE),"")="Engager",1,0)</f>
        <v>0</v>
      </c>
      <c r="T12" t="n">
        <f>IF(OR(Charges!F12="",AND(ISNUMBER(Charges!F12),Charges!F12&gt;=0),Charges!F12="S",Charges!F12="M",Charges!F12="L",Charges!F12="XL"),0,1)+IF(OR(Charges!G12="",AND(ISNUMBER(Charges!G12),Charges!G12&gt;=0),Charges!G12="S",Charges!G12="M",Charges!G12="L",Charges!G12="XL"),0,1)+IF(OR(Charges!H12="",AND(ISNUMBER(Charges!H12),Charges!H12&gt;=0),Charges!H12="S",Charges!H12="M",Charges!H12="L",Charges!H12="XL"),0,1)+IF(OR(Charges!I12="",AND(ISNUMBER(Charges!I12),Charges!I12&gt;=0),Charges!I12="S",Charges!I12="M",Charges!I12="L",Charges!I12="XL"),0,1)+IF(OR(Charges!J12="",AND(ISNUMBER(Charges!J12),Charges!J12&gt;=0),Charges!J12="S",Charges!J12="M",Charges!J12="L",Charges!J12="XL"),0,1)+IF(OR(Charges!K12="",AND(ISNUMBER(Charges!K12),Charges!K12&gt;=0),Charges!K12="S",Charges!K12="M",Charges!K12="L",Charges!K12="XL"),0,1)+IF(OR(Charges!L12="",AND(ISNUMBER(Charges!L12),Charges!L12&gt;=0),Charges!L12="S",Charges!L12="M",Charges!L12="L",Charges!L12="XL"),0,1)+IF(OR(Charges!M12="",AND(ISNUMBER(Charges!M12),Charges!M12&gt;=0),Charges!M12="S",Charges!M12="M",Charges!M12="L",Charges!M12="XL"),0,1)+IF(OR(Charges!N12="",AND(ISNUMBER(Charges!N12),Charges!N12&gt;=0),Charges!N12="S",Charges!N12="M",Charges!N12="L",Charges!N12="XL"),0,1)+IF(OR(Charges!O12="",AND(ISNUMBER(Charges!O12),Charges!O12&gt;=0),Charges!O12="S",Charges!O12="M",Charges!O12="L",Charges!O12="XL"),0,1)+IF(OR(Charges!P12="",AND(ISNUMBER(Charges!P12),Charges!P12&gt;=0),Charges!P12="S",Charges!P12="M",Charges!P12="L",Charges!P12="XL"),0,1)+IF(OR(Charges!Q12="",AND(ISNUMBER(Charges!Q12),Charges!Q12&gt;=0),Charges!Q12="S",Charges!Q12="M",Charges!Q12="L",Charges!Q12="XL"),0,1)+IF(OR(Charges!R12="",AND(ISNUMBER(Charges!R12),Charges!R12&gt;=0),Charges!R12="S",Charges!R12="M",Charges!R12="L",Charges!R12="XL"),0,1)</f>
        <v>0</v>
      </c>
      <c r="U12" t="n">
        <f>IF(AND(1&gt;Paramètres!$B$9,Charges!F12&lt;&gt;"",Charges!F12&lt;&gt;0),1,0)+IF(AND(2&gt;Paramètres!$B$9,Charges!G12&lt;&gt;"",Charges!G12&lt;&gt;0),1,0)+IF(AND(3&gt;Paramètres!$B$9,Charges!H12&lt;&gt;"",Charges!H12&lt;&gt;0),1,0)+IF(AND(4&gt;Paramètres!$B$9,Charges!I12&lt;&gt;"",Charges!I12&lt;&gt;0),1,0)+IF(AND(5&gt;Paramètres!$B$9,Charges!J12&lt;&gt;"",Charges!J12&lt;&gt;0),1,0)+IF(AND(6&gt;Paramètres!$B$9,Charges!K12&lt;&gt;"",Charges!K12&lt;&gt;0),1,0)+IF(AND(7&gt;Paramètres!$B$9,Charges!L12&lt;&gt;"",Charges!L12&lt;&gt;0),1,0)+IF(AND(8&gt;Paramètres!$B$9,Charges!M12&lt;&gt;"",Charges!M12&lt;&gt;0),1,0)+IF(AND(9&gt;Paramètres!$B$9,Charges!N12&lt;&gt;"",Charges!N12&lt;&gt;0),1,0)+IF(AND(10&gt;Paramètres!$B$9,Charges!O12&lt;&gt;"",Charges!O12&lt;&gt;0),1,0)+IF(AND(11&gt;Paramètres!$B$9,Charges!P12&lt;&gt;"",Charges!P12&lt;&gt;0),1,0)+IF(AND(12&gt;Paramètres!$B$9,Charges!Q12&lt;&gt;"",Charges!Q12&lt;&gt;0),1,0)+IF(AND(13&gt;Paramètres!$B$9,Charges!R12&lt;&gt;"",Charges!R12&lt;&gt;0),1,0)</f>
        <v>0</v>
      </c>
      <c r="V12" t="n">
        <f>IF(IFERROR(VLOOKUP(A12,'Projets'!$A$8:$Z$67,5,FALSE),"")="Engager",1,0)</f>
        <v>0</v>
      </c>
      <c r="W12" t="n">
        <f>IF(IFERROR(VLOOKUP(A12,'Projets'!$A$8:$Z$67,6,FALSE),"")="Engager",1,0)</f>
        <v>0</v>
      </c>
      <c r="X12" t="n">
        <f>E12*S12</f>
        <v>0</v>
      </c>
      <c r="Y12" t="n">
        <f>F12*S12</f>
        <v>0</v>
      </c>
      <c r="Z12" t="n">
        <f>G12*S12</f>
        <v>0</v>
      </c>
      <c r="AA12" t="n">
        <f>H12*S12</f>
        <v>0</v>
      </c>
      <c r="AB12" t="n">
        <f>I12*S12</f>
        <v>0</v>
      </c>
      <c r="AC12" t="n">
        <f>J12*S12</f>
        <v>0</v>
      </c>
      <c r="AD12" t="n">
        <f>K12*S12</f>
        <v>0</v>
      </c>
      <c r="AE12" t="n">
        <f>L12*S12</f>
        <v>0</v>
      </c>
      <c r="AF12" t="n">
        <f>M12*S12</f>
        <v>0</v>
      </c>
      <c r="AG12" t="n">
        <f>N12*S12</f>
        <v>0</v>
      </c>
      <c r="AH12" t="n">
        <f>O12*S12</f>
        <v>0</v>
      </c>
      <c r="AI12" t="n">
        <f>P12*S12</f>
        <v>0</v>
      </c>
      <c r="AJ12" t="n">
        <f>Q12*S12</f>
        <v>0</v>
      </c>
      <c r="AK12" t="n">
        <f>E12*V12</f>
        <v>0</v>
      </c>
      <c r="AL12" t="n">
        <f>F12*V12</f>
        <v>0</v>
      </c>
      <c r="AM12" t="n">
        <f>G12*V12</f>
        <v>0</v>
      </c>
      <c r="AN12" t="n">
        <f>H12*V12</f>
        <v>0</v>
      </c>
      <c r="AO12" t="n">
        <f>I12*V12</f>
        <v>0</v>
      </c>
      <c r="AP12" t="n">
        <f>J12*V12</f>
        <v>0</v>
      </c>
      <c r="AQ12" t="n">
        <f>K12*V12</f>
        <v>0</v>
      </c>
      <c r="AR12" t="n">
        <f>L12*V12</f>
        <v>0</v>
      </c>
      <c r="AS12" t="n">
        <f>M12*V12</f>
        <v>0</v>
      </c>
      <c r="AT12" t="n">
        <f>N12*V12</f>
        <v>0</v>
      </c>
      <c r="AU12" t="n">
        <f>O12*V12</f>
        <v>0</v>
      </c>
      <c r="AV12" t="n">
        <f>P12*V12</f>
        <v>0</v>
      </c>
      <c r="AW12" t="n">
        <f>Q12*V12</f>
        <v>0</v>
      </c>
      <c r="AX12" t="n">
        <f>E12*W12</f>
        <v>0</v>
      </c>
      <c r="AY12" t="n">
        <f>F12*W12</f>
        <v>0</v>
      </c>
      <c r="AZ12" t="n">
        <f>G12*W12</f>
        <v>0</v>
      </c>
      <c r="BA12" t="n">
        <f>H12*W12</f>
        <v>0</v>
      </c>
      <c r="BB12" t="n">
        <f>I12*W12</f>
        <v>0</v>
      </c>
      <c r="BC12" t="n">
        <f>J12*W12</f>
        <v>0</v>
      </c>
      <c r="BD12" t="n">
        <f>K12*W12</f>
        <v>0</v>
      </c>
      <c r="BE12" t="n">
        <f>L12*W12</f>
        <v>0</v>
      </c>
      <c r="BF12" t="n">
        <f>M12*W12</f>
        <v>0</v>
      </c>
      <c r="BG12" t="n">
        <f>N12*W12</f>
        <v>0</v>
      </c>
      <c r="BH12" t="n">
        <f>O12*W12</f>
        <v>0</v>
      </c>
      <c r="BI12" t="n">
        <f>P12*W12</f>
        <v>0</v>
      </c>
      <c r="BJ12" t="n">
        <f>Q12*W12</f>
        <v>0</v>
      </c>
      <c r="BM12" t="n">
        <f>IF(OR(Personnes!$A12="",1&gt;Paramètres!$B$9),0,MAX(0,SUMIF($B$8:$B$247,Personnes!$A12,$E$8:$E$247)-'Planning par personne'!C12))</f>
        <v>0</v>
      </c>
      <c r="BN12" t="n">
        <f>IF(OR(Personnes!$A12="",2&gt;Paramètres!$B$9),0,MAX(0,SUMIF($B$8:$B$247,Personnes!$A12,$F$8:$F$247)-'Planning par personne'!D12))</f>
        <v>0</v>
      </c>
      <c r="BO12" t="n">
        <f>IF(OR(Personnes!$A12="",3&gt;Paramètres!$B$9),0,MAX(0,SUMIF($B$8:$B$247,Personnes!$A12,$G$8:$G$247)-'Planning par personne'!E12))</f>
        <v>0</v>
      </c>
      <c r="BP12" t="n">
        <f>IF(OR(Personnes!$A12="",4&gt;Paramètres!$B$9),0,MAX(0,SUMIF($B$8:$B$247,Personnes!$A12,$H$8:$H$247)-'Planning par personne'!F12))</f>
        <v>0</v>
      </c>
      <c r="BQ12" t="n">
        <f>IF(OR(Personnes!$A12="",5&gt;Paramètres!$B$9),0,MAX(0,SUMIF($B$8:$B$247,Personnes!$A12,$I$8:$I$247)-'Planning par personne'!G12))</f>
        <v>0</v>
      </c>
      <c r="BR12" t="n">
        <f>IF(OR(Personnes!$A12="",6&gt;Paramètres!$B$9),0,MAX(0,SUMIF($B$8:$B$247,Personnes!$A12,$J$8:$J$247)-'Planning par personne'!H12))</f>
        <v>0</v>
      </c>
      <c r="BS12" t="n">
        <f>IF(OR(Personnes!$A12="",7&gt;Paramètres!$B$9),0,MAX(0,SUMIF($B$8:$B$247,Personnes!$A12,$K$8:$K$247)-'Planning par personne'!I12))</f>
        <v>0</v>
      </c>
      <c r="BT12" t="n">
        <f>IF(OR(Personnes!$A12="",8&gt;Paramètres!$B$9),0,MAX(0,SUMIF($B$8:$B$247,Personnes!$A12,$L$8:$L$247)-'Planning par personne'!J12))</f>
        <v>0</v>
      </c>
      <c r="BU12" t="n">
        <f>IF(OR(Personnes!$A12="",9&gt;Paramètres!$B$9),0,MAX(0,SUMIF($B$8:$B$247,Personnes!$A12,$M$8:$M$247)-'Planning par personne'!K12))</f>
        <v>0</v>
      </c>
      <c r="BV12" t="n">
        <f>IF(OR(Personnes!$A12="",10&gt;Paramètres!$B$9),0,MAX(0,SUMIF($B$8:$B$247,Personnes!$A12,$N$8:$N$247)-'Planning par personne'!L12))</f>
        <v>0</v>
      </c>
      <c r="BW12" t="n">
        <f>IF(OR(Personnes!$A12="",11&gt;Paramètres!$B$9),0,MAX(0,SUMIF($B$8:$B$247,Personnes!$A12,$O$8:$O$247)-'Planning par personne'!M12))</f>
        <v>0</v>
      </c>
      <c r="BX12" t="n">
        <f>IF(OR(Personnes!$A12="",12&gt;Paramètres!$B$9),0,MAX(0,SUMIF($B$8:$B$247,Personnes!$A12,$P$8:$P$247)-'Planning par personne'!N12))</f>
        <v>0</v>
      </c>
      <c r="BY12" t="n">
        <f>IF(OR(Personnes!$A12="",13&gt;Paramètres!$B$9),0,MAX(0,SUMIF($B$8:$B$247,Personnes!$A12,$Q$8:$Q$247)-'Planning par personne'!O12))</f>
        <v>0</v>
      </c>
      <c r="BZ12" t="n">
        <f>IF(OR(Personnes!$A12="",1&gt;Paramètres!$B$9),0,MAX(0,SUMIF($B$8:$B$247,Personnes!$A12,$AK$8:$AK$247)-'Planning par personne'!C12))</f>
        <v>0</v>
      </c>
      <c r="CA12" t="n">
        <f>IF(OR(Personnes!$A12="",2&gt;Paramètres!$B$9),0,MAX(0,SUMIF($B$8:$B$247,Personnes!$A12,$AL$8:$AL$247)-'Planning par personne'!D12))</f>
        <v>0</v>
      </c>
      <c r="CB12" t="n">
        <f>IF(OR(Personnes!$A12="",3&gt;Paramètres!$B$9),0,MAX(0,SUMIF($B$8:$B$247,Personnes!$A12,$AM$8:$AM$247)-'Planning par personne'!E12))</f>
        <v>0</v>
      </c>
      <c r="CC12" t="n">
        <f>IF(OR(Personnes!$A12="",4&gt;Paramètres!$B$9),0,MAX(0,SUMIF($B$8:$B$247,Personnes!$A12,$AN$8:$AN$247)-'Planning par personne'!F12))</f>
        <v>0</v>
      </c>
      <c r="CD12" t="n">
        <f>IF(OR(Personnes!$A12="",5&gt;Paramètres!$B$9),0,MAX(0,SUMIF($B$8:$B$247,Personnes!$A12,$AO$8:$AO$247)-'Planning par personne'!G12))</f>
        <v>0</v>
      </c>
      <c r="CE12" t="n">
        <f>IF(OR(Personnes!$A12="",6&gt;Paramètres!$B$9),0,MAX(0,SUMIF($B$8:$B$247,Personnes!$A12,$AP$8:$AP$247)-'Planning par personne'!H12))</f>
        <v>0</v>
      </c>
      <c r="CF12" t="n">
        <f>IF(OR(Personnes!$A12="",7&gt;Paramètres!$B$9),0,MAX(0,SUMIF($B$8:$B$247,Personnes!$A12,$AQ$8:$AQ$247)-'Planning par personne'!I12))</f>
        <v>0</v>
      </c>
      <c r="CG12" t="n">
        <f>IF(OR(Personnes!$A12="",8&gt;Paramètres!$B$9),0,MAX(0,SUMIF($B$8:$B$247,Personnes!$A12,$AR$8:$AR$247)-'Planning par personne'!J12))</f>
        <v>0</v>
      </c>
      <c r="CH12" t="n">
        <f>IF(OR(Personnes!$A12="",9&gt;Paramètres!$B$9),0,MAX(0,SUMIF($B$8:$B$247,Personnes!$A12,$AS$8:$AS$247)-'Planning par personne'!K12))</f>
        <v>0</v>
      </c>
      <c r="CI12" t="n">
        <f>IF(OR(Personnes!$A12="",10&gt;Paramètres!$B$9),0,MAX(0,SUMIF($B$8:$B$247,Personnes!$A12,$AT$8:$AT$247)-'Planning par personne'!L12))</f>
        <v>0</v>
      </c>
      <c r="CJ12" t="n">
        <f>IF(OR(Personnes!$A12="",11&gt;Paramètres!$B$9),0,MAX(0,SUMIF($B$8:$B$247,Personnes!$A12,$AU$8:$AU$247)-'Planning par personne'!M12))</f>
        <v>0</v>
      </c>
      <c r="CK12" t="n">
        <f>IF(OR(Personnes!$A12="",12&gt;Paramètres!$B$9),0,MAX(0,SUMIF($B$8:$B$247,Personnes!$A12,$AV$8:$AV$247)-'Planning par personne'!N12))</f>
        <v>0</v>
      </c>
      <c r="CL12" t="n">
        <f>IF(OR(Personnes!$A12="",13&gt;Paramètres!$B$9),0,MAX(0,SUMIF($B$8:$B$247,Personnes!$A12,$AW$8:$AW$247)-'Planning par personne'!O12))</f>
        <v>0</v>
      </c>
      <c r="CM12" t="n">
        <f>IF(OR(Personnes!$A12="",1&gt;Paramètres!$B$9),0,MAX(0,SUMIF($B$8:$B$247,Personnes!$A12,$AX$8:$AX$247)-'Planning par personne'!C12))</f>
        <v>0</v>
      </c>
      <c r="CN12" t="n">
        <f>IF(OR(Personnes!$A12="",2&gt;Paramètres!$B$9),0,MAX(0,SUMIF($B$8:$B$247,Personnes!$A12,$AY$8:$AY$247)-'Planning par personne'!D12))</f>
        <v>0</v>
      </c>
      <c r="CO12" t="n">
        <f>IF(OR(Personnes!$A12="",3&gt;Paramètres!$B$9),0,MAX(0,SUMIF($B$8:$B$247,Personnes!$A12,$AZ$8:$AZ$247)-'Planning par personne'!E12))</f>
        <v>0</v>
      </c>
      <c r="CP12" t="n">
        <f>IF(OR(Personnes!$A12="",4&gt;Paramètres!$B$9),0,MAX(0,SUMIF($B$8:$B$247,Personnes!$A12,$BA$8:$BA$247)-'Planning par personne'!F12))</f>
        <v>0</v>
      </c>
      <c r="CQ12" t="n">
        <f>IF(OR(Personnes!$A12="",5&gt;Paramètres!$B$9),0,MAX(0,SUMIF($B$8:$B$247,Personnes!$A12,$BB$8:$BB$247)-'Planning par personne'!G12))</f>
        <v>0</v>
      </c>
      <c r="CR12" t="n">
        <f>IF(OR(Personnes!$A12="",6&gt;Paramètres!$B$9),0,MAX(0,SUMIF($B$8:$B$247,Personnes!$A12,$BC$8:$BC$247)-'Planning par personne'!H12))</f>
        <v>0</v>
      </c>
      <c r="CS12" t="n">
        <f>IF(OR(Personnes!$A12="",7&gt;Paramètres!$B$9),0,MAX(0,SUMIF($B$8:$B$247,Personnes!$A12,$BD$8:$BD$247)-'Planning par personne'!I12))</f>
        <v>0</v>
      </c>
      <c r="CT12" t="n">
        <f>IF(OR(Personnes!$A12="",8&gt;Paramètres!$B$9),0,MAX(0,SUMIF($B$8:$B$247,Personnes!$A12,$BE$8:$BE$247)-'Planning par personne'!J12))</f>
        <v>0</v>
      </c>
      <c r="CU12" t="n">
        <f>IF(OR(Personnes!$A12="",9&gt;Paramètres!$B$9),0,MAX(0,SUMIF($B$8:$B$247,Personnes!$A12,$BF$8:$BF$247)-'Planning par personne'!K12))</f>
        <v>0</v>
      </c>
      <c r="CV12" t="n">
        <f>IF(OR(Personnes!$A12="",10&gt;Paramètres!$B$9),0,MAX(0,SUMIF($B$8:$B$247,Personnes!$A12,$BG$8:$BG$247)-'Planning par personne'!L12))</f>
        <v>0</v>
      </c>
      <c r="CW12" t="n">
        <f>IF(OR(Personnes!$A12="",11&gt;Paramètres!$B$9),0,MAX(0,SUMIF($B$8:$B$247,Personnes!$A12,$BH$8:$BH$247)-'Planning par personne'!M12))</f>
        <v>0</v>
      </c>
      <c r="CX12" t="n">
        <f>IF(OR(Personnes!$A12="",12&gt;Paramètres!$B$9),0,MAX(0,SUMIF($B$8:$B$247,Personnes!$A12,$BI$8:$BI$247)-'Planning par personne'!N12))</f>
        <v>0</v>
      </c>
      <c r="CY12" t="n">
        <f>IF(OR(Personnes!$A12="",13&gt;Paramètres!$B$9),0,MAX(0,SUMIF($B$8:$B$247,Personnes!$A12,$BJ$8:$BJ$247)-'Planning par personne'!O12))</f>
        <v>0</v>
      </c>
      <c r="DJ12" t="n">
        <f>SUM(BM12:BY12)</f>
        <v>0</v>
      </c>
      <c r="DK12" t="n">
        <f>SUM(BZ12:CL12)</f>
        <v>0</v>
      </c>
      <c r="DL12" t="n">
        <f>SUM(CM12:CY12)</f>
        <v>0</v>
      </c>
      <c r="DM12" t="str">
        <f>IF(AND(Projets!A12&lt;&gt;"",Projets!G12="Engager"),DM11&amp;IF(DM11="","",", ")&amp;Projets!B12,DM11)</f>
        <v/>
      </c>
      <c r="DN12" t="str">
        <f>IF(AND(Projets!A12&lt;&gt;"",Projets!G12="Reporter"),DN11&amp;IF(DN11="","",", ")&amp;Projets!B12,DN11)</f>
        <v/>
      </c>
    </row>
    <row r="13">
      <c r="A13" t="n">
        <f>Charges!A13</f>
        <v>0</v>
      </c>
      <c r="B13" t="n">
        <f>Charges!C13</f>
        <v>0</v>
      </c>
      <c r="C13" t="str">
        <f>Charges!D13</f>
        <v/>
      </c>
      <c r="E13" t="n">
        <f>IF(1&lt;=Paramètres!$B$9,MAX(0,IFERROR(N(IF(ISNUMBER(Charges!F13),MAX(0,Charges!F13),IFERROR(VLOOKUP(Charges!F13,Paramètres!$A$15:$B$18,2,FALSE),0))),0)),0)</f>
        <v>0</v>
      </c>
      <c r="F13" t="n">
        <f>IF(2&lt;=Paramètres!$B$9,MAX(0,IFERROR(N(IF(ISNUMBER(Charges!G13),MAX(0,Charges!G13),IFERROR(VLOOKUP(Charges!G13,Paramètres!$A$15:$B$18,2,FALSE),0))),0)),0)</f>
        <v>0</v>
      </c>
      <c r="G13" t="n">
        <f>IF(3&lt;=Paramètres!$B$9,MAX(0,IFERROR(N(IF(ISNUMBER(Charges!H13),MAX(0,Charges!H13),IFERROR(VLOOKUP(Charges!H13,Paramètres!$A$15:$B$18,2,FALSE),0))),0)),0)</f>
        <v>0</v>
      </c>
      <c r="H13" t="n">
        <f>IF(4&lt;=Paramètres!$B$9,MAX(0,IFERROR(N(IF(ISNUMBER(Charges!I13),MAX(0,Charges!I13),IFERROR(VLOOKUP(Charges!I13,Paramètres!$A$15:$B$18,2,FALSE),0))),0)),0)</f>
        <v>0</v>
      </c>
      <c r="I13" t="n">
        <f>IF(5&lt;=Paramètres!$B$9,MAX(0,IFERROR(N(IF(ISNUMBER(Charges!J13),MAX(0,Charges!J13),IFERROR(VLOOKUP(Charges!J13,Paramètres!$A$15:$B$18,2,FALSE),0))),0)),0)</f>
        <v>0</v>
      </c>
      <c r="J13" t="n">
        <f>IF(6&lt;=Paramètres!$B$9,MAX(0,IFERROR(N(IF(ISNUMBER(Charges!K13),MAX(0,Charges!K13),IFERROR(VLOOKUP(Charges!K13,Paramètres!$A$15:$B$18,2,FALSE),0))),0)),0)</f>
        <v>0</v>
      </c>
      <c r="K13" t="n">
        <f>IF(7&lt;=Paramètres!$B$9,MAX(0,IFERROR(N(IF(ISNUMBER(Charges!L13),MAX(0,Charges!L13),IFERROR(VLOOKUP(Charges!L13,Paramètres!$A$15:$B$18,2,FALSE),0))),0)),0)</f>
        <v>0</v>
      </c>
      <c r="L13" t="n">
        <f>IF(8&lt;=Paramètres!$B$9,MAX(0,IFERROR(N(IF(ISNUMBER(Charges!M13),MAX(0,Charges!M13),IFERROR(VLOOKUP(Charges!M13,Paramètres!$A$15:$B$18,2,FALSE),0))),0)),0)</f>
        <v>0</v>
      </c>
      <c r="M13" t="n">
        <f>IF(9&lt;=Paramètres!$B$9,MAX(0,IFERROR(N(IF(ISNUMBER(Charges!N13),MAX(0,Charges!N13),IFERROR(VLOOKUP(Charges!N13,Paramètres!$A$15:$B$18,2,FALSE),0))),0)),0)</f>
        <v>0</v>
      </c>
      <c r="N13" t="n">
        <f>IF(10&lt;=Paramètres!$B$9,MAX(0,IFERROR(N(IF(ISNUMBER(Charges!O13),MAX(0,Charges!O13),IFERROR(VLOOKUP(Charges!O13,Paramètres!$A$15:$B$18,2,FALSE),0))),0)),0)</f>
        <v>0</v>
      </c>
      <c r="O13" t="n">
        <f>IF(11&lt;=Paramètres!$B$9,MAX(0,IFERROR(N(IF(ISNUMBER(Charges!P13),MAX(0,Charges!P13),IFERROR(VLOOKUP(Charges!P13,Paramètres!$A$15:$B$18,2,FALSE),0))),0)),0)</f>
        <v>0</v>
      </c>
      <c r="P13" t="n">
        <f>IF(12&lt;=Paramètres!$B$9,MAX(0,IFERROR(N(IF(ISNUMBER(Charges!Q13),MAX(0,Charges!Q13),IFERROR(VLOOKUP(Charges!Q13,Paramètres!$A$15:$B$18,2,FALSE),0))),0)),0)</f>
        <v>0</v>
      </c>
      <c r="Q13" t="n">
        <f>IF(13&lt;=Paramètres!$B$9,MAX(0,IFERROR(N(IF(ISNUMBER(Charges!R13),MAX(0,Charges!R13),IFERROR(VLOOKUP(Charges!R13,Paramètres!$A$15:$B$18,2,FALSE),0))),0)),0)</f>
        <v>0</v>
      </c>
      <c r="R13" t="n">
        <f>SUM(E13:Q13)</f>
        <v>0</v>
      </c>
      <c r="S13" t="n">
        <f>IF(IFERROR(VLOOKUP(A13,'Projets'!$A$8:$Z$67,7,FALSE),"")="Engager",1,0)</f>
        <v>0</v>
      </c>
      <c r="T13" t="n">
        <f>IF(OR(Charges!F13="",AND(ISNUMBER(Charges!F13),Charges!F13&gt;=0),Charges!F13="S",Charges!F13="M",Charges!F13="L",Charges!F13="XL"),0,1)+IF(OR(Charges!G13="",AND(ISNUMBER(Charges!G13),Charges!G13&gt;=0),Charges!G13="S",Charges!G13="M",Charges!G13="L",Charges!G13="XL"),0,1)+IF(OR(Charges!H13="",AND(ISNUMBER(Charges!H13),Charges!H13&gt;=0),Charges!H13="S",Charges!H13="M",Charges!H13="L",Charges!H13="XL"),0,1)+IF(OR(Charges!I13="",AND(ISNUMBER(Charges!I13),Charges!I13&gt;=0),Charges!I13="S",Charges!I13="M",Charges!I13="L",Charges!I13="XL"),0,1)+IF(OR(Charges!J13="",AND(ISNUMBER(Charges!J13),Charges!J13&gt;=0),Charges!J13="S",Charges!J13="M",Charges!J13="L",Charges!J13="XL"),0,1)+IF(OR(Charges!K13="",AND(ISNUMBER(Charges!K13),Charges!K13&gt;=0),Charges!K13="S",Charges!K13="M",Charges!K13="L",Charges!K13="XL"),0,1)+IF(OR(Charges!L13="",AND(ISNUMBER(Charges!L13),Charges!L13&gt;=0),Charges!L13="S",Charges!L13="M",Charges!L13="L",Charges!L13="XL"),0,1)+IF(OR(Charges!M13="",AND(ISNUMBER(Charges!M13),Charges!M13&gt;=0),Charges!M13="S",Charges!M13="M",Charges!M13="L",Charges!M13="XL"),0,1)+IF(OR(Charges!N13="",AND(ISNUMBER(Charges!N13),Charges!N13&gt;=0),Charges!N13="S",Charges!N13="M",Charges!N13="L",Charges!N13="XL"),0,1)+IF(OR(Charges!O13="",AND(ISNUMBER(Charges!O13),Charges!O13&gt;=0),Charges!O13="S",Charges!O13="M",Charges!O13="L",Charges!O13="XL"),0,1)+IF(OR(Charges!P13="",AND(ISNUMBER(Charges!P13),Charges!P13&gt;=0),Charges!P13="S",Charges!P13="M",Charges!P13="L",Charges!P13="XL"),0,1)+IF(OR(Charges!Q13="",AND(ISNUMBER(Charges!Q13),Charges!Q13&gt;=0),Charges!Q13="S",Charges!Q13="M",Charges!Q13="L",Charges!Q13="XL"),0,1)+IF(OR(Charges!R13="",AND(ISNUMBER(Charges!R13),Charges!R13&gt;=0),Charges!R13="S",Charges!R13="M",Charges!R13="L",Charges!R13="XL"),0,1)</f>
        <v>0</v>
      </c>
      <c r="U13" t="n">
        <f>IF(AND(1&gt;Paramètres!$B$9,Charges!F13&lt;&gt;"",Charges!F13&lt;&gt;0),1,0)+IF(AND(2&gt;Paramètres!$B$9,Charges!G13&lt;&gt;"",Charges!G13&lt;&gt;0),1,0)+IF(AND(3&gt;Paramètres!$B$9,Charges!H13&lt;&gt;"",Charges!H13&lt;&gt;0),1,0)+IF(AND(4&gt;Paramètres!$B$9,Charges!I13&lt;&gt;"",Charges!I13&lt;&gt;0),1,0)+IF(AND(5&gt;Paramètres!$B$9,Charges!J13&lt;&gt;"",Charges!J13&lt;&gt;0),1,0)+IF(AND(6&gt;Paramètres!$B$9,Charges!K13&lt;&gt;"",Charges!K13&lt;&gt;0),1,0)+IF(AND(7&gt;Paramètres!$B$9,Charges!L13&lt;&gt;"",Charges!L13&lt;&gt;0),1,0)+IF(AND(8&gt;Paramètres!$B$9,Charges!M13&lt;&gt;"",Charges!M13&lt;&gt;0),1,0)+IF(AND(9&gt;Paramètres!$B$9,Charges!N13&lt;&gt;"",Charges!N13&lt;&gt;0),1,0)+IF(AND(10&gt;Paramètres!$B$9,Charges!O13&lt;&gt;"",Charges!O13&lt;&gt;0),1,0)+IF(AND(11&gt;Paramètres!$B$9,Charges!P13&lt;&gt;"",Charges!P13&lt;&gt;0),1,0)+IF(AND(12&gt;Paramètres!$B$9,Charges!Q13&lt;&gt;"",Charges!Q13&lt;&gt;0),1,0)+IF(AND(13&gt;Paramètres!$B$9,Charges!R13&lt;&gt;"",Charges!R13&lt;&gt;0),1,0)</f>
        <v>0</v>
      </c>
      <c r="V13" t="n">
        <f>IF(IFERROR(VLOOKUP(A13,'Projets'!$A$8:$Z$67,5,FALSE),"")="Engager",1,0)</f>
        <v>0</v>
      </c>
      <c r="W13" t="n">
        <f>IF(IFERROR(VLOOKUP(A13,'Projets'!$A$8:$Z$67,6,FALSE),"")="Engager",1,0)</f>
        <v>0</v>
      </c>
      <c r="X13" t="n">
        <f>E13*S13</f>
        <v>0</v>
      </c>
      <c r="Y13" t="n">
        <f>F13*S13</f>
        <v>0</v>
      </c>
      <c r="Z13" t="n">
        <f>G13*S13</f>
        <v>0</v>
      </c>
      <c r="AA13" t="n">
        <f>H13*S13</f>
        <v>0</v>
      </c>
      <c r="AB13" t="n">
        <f>I13*S13</f>
        <v>0</v>
      </c>
      <c r="AC13" t="n">
        <f>J13*S13</f>
        <v>0</v>
      </c>
      <c r="AD13" t="n">
        <f>K13*S13</f>
        <v>0</v>
      </c>
      <c r="AE13" t="n">
        <f>L13*S13</f>
        <v>0</v>
      </c>
      <c r="AF13" t="n">
        <f>M13*S13</f>
        <v>0</v>
      </c>
      <c r="AG13" t="n">
        <f>N13*S13</f>
        <v>0</v>
      </c>
      <c r="AH13" t="n">
        <f>O13*S13</f>
        <v>0</v>
      </c>
      <c r="AI13" t="n">
        <f>P13*S13</f>
        <v>0</v>
      </c>
      <c r="AJ13" t="n">
        <f>Q13*S13</f>
        <v>0</v>
      </c>
      <c r="AK13" t="n">
        <f>E13*V13</f>
        <v>0</v>
      </c>
      <c r="AL13" t="n">
        <f>F13*V13</f>
        <v>0</v>
      </c>
      <c r="AM13" t="n">
        <f>G13*V13</f>
        <v>0</v>
      </c>
      <c r="AN13" t="n">
        <f>H13*V13</f>
        <v>0</v>
      </c>
      <c r="AO13" t="n">
        <f>I13*V13</f>
        <v>0</v>
      </c>
      <c r="AP13" t="n">
        <f>J13*V13</f>
        <v>0</v>
      </c>
      <c r="AQ13" t="n">
        <f>K13*V13</f>
        <v>0</v>
      </c>
      <c r="AR13" t="n">
        <f>L13*V13</f>
        <v>0</v>
      </c>
      <c r="AS13" t="n">
        <f>M13*V13</f>
        <v>0</v>
      </c>
      <c r="AT13" t="n">
        <f>N13*V13</f>
        <v>0</v>
      </c>
      <c r="AU13" t="n">
        <f>O13*V13</f>
        <v>0</v>
      </c>
      <c r="AV13" t="n">
        <f>P13*V13</f>
        <v>0</v>
      </c>
      <c r="AW13" t="n">
        <f>Q13*V13</f>
        <v>0</v>
      </c>
      <c r="AX13" t="n">
        <f>E13*W13</f>
        <v>0</v>
      </c>
      <c r="AY13" t="n">
        <f>F13*W13</f>
        <v>0</v>
      </c>
      <c r="AZ13" t="n">
        <f>G13*W13</f>
        <v>0</v>
      </c>
      <c r="BA13" t="n">
        <f>H13*W13</f>
        <v>0</v>
      </c>
      <c r="BB13" t="n">
        <f>I13*W13</f>
        <v>0</v>
      </c>
      <c r="BC13" t="n">
        <f>J13*W13</f>
        <v>0</v>
      </c>
      <c r="BD13" t="n">
        <f>K13*W13</f>
        <v>0</v>
      </c>
      <c r="BE13" t="n">
        <f>L13*W13</f>
        <v>0</v>
      </c>
      <c r="BF13" t="n">
        <f>M13*W13</f>
        <v>0</v>
      </c>
      <c r="BG13" t="n">
        <f>N13*W13</f>
        <v>0</v>
      </c>
      <c r="BH13" t="n">
        <f>O13*W13</f>
        <v>0</v>
      </c>
      <c r="BI13" t="n">
        <f>P13*W13</f>
        <v>0</v>
      </c>
      <c r="BJ13" t="n">
        <f>Q13*W13</f>
        <v>0</v>
      </c>
      <c r="BM13" t="n">
        <f>IF(OR(Personnes!$A13="",1&gt;Paramètres!$B$9),0,MAX(0,SUMIF($B$8:$B$247,Personnes!$A13,$E$8:$E$247)-'Planning par personne'!C13))</f>
        <v>0</v>
      </c>
      <c r="BN13" t="n">
        <f>IF(OR(Personnes!$A13="",2&gt;Paramètres!$B$9),0,MAX(0,SUMIF($B$8:$B$247,Personnes!$A13,$F$8:$F$247)-'Planning par personne'!D13))</f>
        <v>0</v>
      </c>
      <c r="BO13" t="n">
        <f>IF(OR(Personnes!$A13="",3&gt;Paramètres!$B$9),0,MAX(0,SUMIF($B$8:$B$247,Personnes!$A13,$G$8:$G$247)-'Planning par personne'!E13))</f>
        <v>0</v>
      </c>
      <c r="BP13" t="n">
        <f>IF(OR(Personnes!$A13="",4&gt;Paramètres!$B$9),0,MAX(0,SUMIF($B$8:$B$247,Personnes!$A13,$H$8:$H$247)-'Planning par personne'!F13))</f>
        <v>0</v>
      </c>
      <c r="BQ13" t="n">
        <f>IF(OR(Personnes!$A13="",5&gt;Paramètres!$B$9),0,MAX(0,SUMIF($B$8:$B$247,Personnes!$A13,$I$8:$I$247)-'Planning par personne'!G13))</f>
        <v>0</v>
      </c>
      <c r="BR13" t="n">
        <f>IF(OR(Personnes!$A13="",6&gt;Paramètres!$B$9),0,MAX(0,SUMIF($B$8:$B$247,Personnes!$A13,$J$8:$J$247)-'Planning par personne'!H13))</f>
        <v>0</v>
      </c>
      <c r="BS13" t="n">
        <f>IF(OR(Personnes!$A13="",7&gt;Paramètres!$B$9),0,MAX(0,SUMIF($B$8:$B$247,Personnes!$A13,$K$8:$K$247)-'Planning par personne'!I13))</f>
        <v>0</v>
      </c>
      <c r="BT13" t="n">
        <f>IF(OR(Personnes!$A13="",8&gt;Paramètres!$B$9),0,MAX(0,SUMIF($B$8:$B$247,Personnes!$A13,$L$8:$L$247)-'Planning par personne'!J13))</f>
        <v>0</v>
      </c>
      <c r="BU13" t="n">
        <f>IF(OR(Personnes!$A13="",9&gt;Paramètres!$B$9),0,MAX(0,SUMIF($B$8:$B$247,Personnes!$A13,$M$8:$M$247)-'Planning par personne'!K13))</f>
        <v>0</v>
      </c>
      <c r="BV13" t="n">
        <f>IF(OR(Personnes!$A13="",10&gt;Paramètres!$B$9),0,MAX(0,SUMIF($B$8:$B$247,Personnes!$A13,$N$8:$N$247)-'Planning par personne'!L13))</f>
        <v>0</v>
      </c>
      <c r="BW13" t="n">
        <f>IF(OR(Personnes!$A13="",11&gt;Paramètres!$B$9),0,MAX(0,SUMIF($B$8:$B$247,Personnes!$A13,$O$8:$O$247)-'Planning par personne'!M13))</f>
        <v>0</v>
      </c>
      <c r="BX13" t="n">
        <f>IF(OR(Personnes!$A13="",12&gt;Paramètres!$B$9),0,MAX(0,SUMIF($B$8:$B$247,Personnes!$A13,$P$8:$P$247)-'Planning par personne'!N13))</f>
        <v>0</v>
      </c>
      <c r="BY13" t="n">
        <f>IF(OR(Personnes!$A13="",13&gt;Paramètres!$B$9),0,MAX(0,SUMIF($B$8:$B$247,Personnes!$A13,$Q$8:$Q$247)-'Planning par personne'!O13))</f>
        <v>0</v>
      </c>
      <c r="BZ13" t="n">
        <f>IF(OR(Personnes!$A13="",1&gt;Paramètres!$B$9),0,MAX(0,SUMIF($B$8:$B$247,Personnes!$A13,$AK$8:$AK$247)-'Planning par personne'!C13))</f>
        <v>0</v>
      </c>
      <c r="CA13" t="n">
        <f>IF(OR(Personnes!$A13="",2&gt;Paramètres!$B$9),0,MAX(0,SUMIF($B$8:$B$247,Personnes!$A13,$AL$8:$AL$247)-'Planning par personne'!D13))</f>
        <v>0</v>
      </c>
      <c r="CB13" t="n">
        <f>IF(OR(Personnes!$A13="",3&gt;Paramètres!$B$9),0,MAX(0,SUMIF($B$8:$B$247,Personnes!$A13,$AM$8:$AM$247)-'Planning par personne'!E13))</f>
        <v>0</v>
      </c>
      <c r="CC13" t="n">
        <f>IF(OR(Personnes!$A13="",4&gt;Paramètres!$B$9),0,MAX(0,SUMIF($B$8:$B$247,Personnes!$A13,$AN$8:$AN$247)-'Planning par personne'!F13))</f>
        <v>0</v>
      </c>
      <c r="CD13" t="n">
        <f>IF(OR(Personnes!$A13="",5&gt;Paramètres!$B$9),0,MAX(0,SUMIF($B$8:$B$247,Personnes!$A13,$AO$8:$AO$247)-'Planning par personne'!G13))</f>
        <v>0</v>
      </c>
      <c r="CE13" t="n">
        <f>IF(OR(Personnes!$A13="",6&gt;Paramètres!$B$9),0,MAX(0,SUMIF($B$8:$B$247,Personnes!$A13,$AP$8:$AP$247)-'Planning par personne'!H13))</f>
        <v>0</v>
      </c>
      <c r="CF13" t="n">
        <f>IF(OR(Personnes!$A13="",7&gt;Paramètres!$B$9),0,MAX(0,SUMIF($B$8:$B$247,Personnes!$A13,$AQ$8:$AQ$247)-'Planning par personne'!I13))</f>
        <v>0</v>
      </c>
      <c r="CG13" t="n">
        <f>IF(OR(Personnes!$A13="",8&gt;Paramètres!$B$9),0,MAX(0,SUMIF($B$8:$B$247,Personnes!$A13,$AR$8:$AR$247)-'Planning par personne'!J13))</f>
        <v>0</v>
      </c>
      <c r="CH13" t="n">
        <f>IF(OR(Personnes!$A13="",9&gt;Paramètres!$B$9),0,MAX(0,SUMIF($B$8:$B$247,Personnes!$A13,$AS$8:$AS$247)-'Planning par personne'!K13))</f>
        <v>0</v>
      </c>
      <c r="CI13" t="n">
        <f>IF(OR(Personnes!$A13="",10&gt;Paramètres!$B$9),0,MAX(0,SUMIF($B$8:$B$247,Personnes!$A13,$AT$8:$AT$247)-'Planning par personne'!L13))</f>
        <v>0</v>
      </c>
      <c r="CJ13" t="n">
        <f>IF(OR(Personnes!$A13="",11&gt;Paramètres!$B$9),0,MAX(0,SUMIF($B$8:$B$247,Personnes!$A13,$AU$8:$AU$247)-'Planning par personne'!M13))</f>
        <v>0</v>
      </c>
      <c r="CK13" t="n">
        <f>IF(OR(Personnes!$A13="",12&gt;Paramètres!$B$9),0,MAX(0,SUMIF($B$8:$B$247,Personnes!$A13,$AV$8:$AV$247)-'Planning par personne'!N13))</f>
        <v>0</v>
      </c>
      <c r="CL13" t="n">
        <f>IF(OR(Personnes!$A13="",13&gt;Paramètres!$B$9),0,MAX(0,SUMIF($B$8:$B$247,Personnes!$A13,$AW$8:$AW$247)-'Planning par personne'!O13))</f>
        <v>0</v>
      </c>
      <c r="CM13" t="n">
        <f>IF(OR(Personnes!$A13="",1&gt;Paramètres!$B$9),0,MAX(0,SUMIF($B$8:$B$247,Personnes!$A13,$AX$8:$AX$247)-'Planning par personne'!C13))</f>
        <v>0</v>
      </c>
      <c r="CN13" t="n">
        <f>IF(OR(Personnes!$A13="",2&gt;Paramètres!$B$9),0,MAX(0,SUMIF($B$8:$B$247,Personnes!$A13,$AY$8:$AY$247)-'Planning par personne'!D13))</f>
        <v>0</v>
      </c>
      <c r="CO13" t="n">
        <f>IF(OR(Personnes!$A13="",3&gt;Paramètres!$B$9),0,MAX(0,SUMIF($B$8:$B$247,Personnes!$A13,$AZ$8:$AZ$247)-'Planning par personne'!E13))</f>
        <v>0</v>
      </c>
      <c r="CP13" t="n">
        <f>IF(OR(Personnes!$A13="",4&gt;Paramètres!$B$9),0,MAX(0,SUMIF($B$8:$B$247,Personnes!$A13,$BA$8:$BA$247)-'Planning par personne'!F13))</f>
        <v>0</v>
      </c>
      <c r="CQ13" t="n">
        <f>IF(OR(Personnes!$A13="",5&gt;Paramètres!$B$9),0,MAX(0,SUMIF($B$8:$B$247,Personnes!$A13,$BB$8:$BB$247)-'Planning par personne'!G13))</f>
        <v>0</v>
      </c>
      <c r="CR13" t="n">
        <f>IF(OR(Personnes!$A13="",6&gt;Paramètres!$B$9),0,MAX(0,SUMIF($B$8:$B$247,Personnes!$A13,$BC$8:$BC$247)-'Planning par personne'!H13))</f>
        <v>0</v>
      </c>
      <c r="CS13" t="n">
        <f>IF(OR(Personnes!$A13="",7&gt;Paramètres!$B$9),0,MAX(0,SUMIF($B$8:$B$247,Personnes!$A13,$BD$8:$BD$247)-'Planning par personne'!I13))</f>
        <v>0</v>
      </c>
      <c r="CT13" t="n">
        <f>IF(OR(Personnes!$A13="",8&gt;Paramètres!$B$9),0,MAX(0,SUMIF($B$8:$B$247,Personnes!$A13,$BE$8:$BE$247)-'Planning par personne'!J13))</f>
        <v>0</v>
      </c>
      <c r="CU13" t="n">
        <f>IF(OR(Personnes!$A13="",9&gt;Paramètres!$B$9),0,MAX(0,SUMIF($B$8:$B$247,Personnes!$A13,$BF$8:$BF$247)-'Planning par personne'!K13))</f>
        <v>0</v>
      </c>
      <c r="CV13" t="n">
        <f>IF(OR(Personnes!$A13="",10&gt;Paramètres!$B$9),0,MAX(0,SUMIF($B$8:$B$247,Personnes!$A13,$BG$8:$BG$247)-'Planning par personne'!L13))</f>
        <v>0</v>
      </c>
      <c r="CW13" t="n">
        <f>IF(OR(Personnes!$A13="",11&gt;Paramètres!$B$9),0,MAX(0,SUMIF($B$8:$B$247,Personnes!$A13,$BH$8:$BH$247)-'Planning par personne'!M13))</f>
        <v>0</v>
      </c>
      <c r="CX13" t="n">
        <f>IF(OR(Personnes!$A13="",12&gt;Paramètres!$B$9),0,MAX(0,SUMIF($B$8:$B$247,Personnes!$A13,$BI$8:$BI$247)-'Planning par personne'!N13))</f>
        <v>0</v>
      </c>
      <c r="CY13" t="n">
        <f>IF(OR(Personnes!$A13="",13&gt;Paramètres!$B$9),0,MAX(0,SUMIF($B$8:$B$247,Personnes!$A13,$BJ$8:$BJ$247)-'Planning par personne'!O13))</f>
        <v>0</v>
      </c>
      <c r="DJ13" t="n">
        <f>SUM(BM13:BY13)</f>
        <v>0</v>
      </c>
      <c r="DK13" t="n">
        <f>SUM(BZ13:CL13)</f>
        <v>0</v>
      </c>
      <c r="DL13" t="n">
        <f>SUM(CM13:CY13)</f>
        <v>0</v>
      </c>
      <c r="DM13" t="str">
        <f>IF(AND(Projets!A13&lt;&gt;"",Projets!G13="Engager"),DM12&amp;IF(DM12="","",", ")&amp;Projets!B13,DM12)</f>
        <v/>
      </c>
      <c r="DN13" t="str">
        <f>IF(AND(Projets!A13&lt;&gt;"",Projets!G13="Reporter"),DN12&amp;IF(DN12="","",", ")&amp;Projets!B13,DN12)</f>
        <v/>
      </c>
    </row>
    <row r="14">
      <c r="A14" t="n">
        <f>Charges!A14</f>
        <v>0</v>
      </c>
      <c r="B14" t="n">
        <f>Charges!C14</f>
        <v>0</v>
      </c>
      <c r="C14" t="str">
        <f>Charges!D14</f>
        <v/>
      </c>
      <c r="E14" t="n">
        <f>IF(1&lt;=Paramètres!$B$9,MAX(0,IFERROR(N(IF(ISNUMBER(Charges!F14),MAX(0,Charges!F14),IFERROR(VLOOKUP(Charges!F14,Paramètres!$A$15:$B$18,2,FALSE),0))),0)),0)</f>
        <v>0</v>
      </c>
      <c r="F14" t="n">
        <f>IF(2&lt;=Paramètres!$B$9,MAX(0,IFERROR(N(IF(ISNUMBER(Charges!G14),MAX(0,Charges!G14),IFERROR(VLOOKUP(Charges!G14,Paramètres!$A$15:$B$18,2,FALSE),0))),0)),0)</f>
        <v>0</v>
      </c>
      <c r="G14" t="n">
        <f>IF(3&lt;=Paramètres!$B$9,MAX(0,IFERROR(N(IF(ISNUMBER(Charges!H14),MAX(0,Charges!H14),IFERROR(VLOOKUP(Charges!H14,Paramètres!$A$15:$B$18,2,FALSE),0))),0)),0)</f>
        <v>0</v>
      </c>
      <c r="H14" t="n">
        <f>IF(4&lt;=Paramètres!$B$9,MAX(0,IFERROR(N(IF(ISNUMBER(Charges!I14),MAX(0,Charges!I14),IFERROR(VLOOKUP(Charges!I14,Paramètres!$A$15:$B$18,2,FALSE),0))),0)),0)</f>
        <v>0</v>
      </c>
      <c r="I14" t="n">
        <f>IF(5&lt;=Paramètres!$B$9,MAX(0,IFERROR(N(IF(ISNUMBER(Charges!J14),MAX(0,Charges!J14),IFERROR(VLOOKUP(Charges!J14,Paramètres!$A$15:$B$18,2,FALSE),0))),0)),0)</f>
        <v>0</v>
      </c>
      <c r="J14" t="n">
        <f>IF(6&lt;=Paramètres!$B$9,MAX(0,IFERROR(N(IF(ISNUMBER(Charges!K14),MAX(0,Charges!K14),IFERROR(VLOOKUP(Charges!K14,Paramètres!$A$15:$B$18,2,FALSE),0))),0)),0)</f>
        <v>0</v>
      </c>
      <c r="K14" t="n">
        <f>IF(7&lt;=Paramètres!$B$9,MAX(0,IFERROR(N(IF(ISNUMBER(Charges!L14),MAX(0,Charges!L14),IFERROR(VLOOKUP(Charges!L14,Paramètres!$A$15:$B$18,2,FALSE),0))),0)),0)</f>
        <v>0</v>
      </c>
      <c r="L14" t="n">
        <f>IF(8&lt;=Paramètres!$B$9,MAX(0,IFERROR(N(IF(ISNUMBER(Charges!M14),MAX(0,Charges!M14),IFERROR(VLOOKUP(Charges!M14,Paramètres!$A$15:$B$18,2,FALSE),0))),0)),0)</f>
        <v>0</v>
      </c>
      <c r="M14" t="n">
        <f>IF(9&lt;=Paramètres!$B$9,MAX(0,IFERROR(N(IF(ISNUMBER(Charges!N14),MAX(0,Charges!N14),IFERROR(VLOOKUP(Charges!N14,Paramètres!$A$15:$B$18,2,FALSE),0))),0)),0)</f>
        <v>0</v>
      </c>
      <c r="N14" t="n">
        <f>IF(10&lt;=Paramètres!$B$9,MAX(0,IFERROR(N(IF(ISNUMBER(Charges!O14),MAX(0,Charges!O14),IFERROR(VLOOKUP(Charges!O14,Paramètres!$A$15:$B$18,2,FALSE),0))),0)),0)</f>
        <v>0</v>
      </c>
      <c r="O14" t="n">
        <f>IF(11&lt;=Paramètres!$B$9,MAX(0,IFERROR(N(IF(ISNUMBER(Charges!P14),MAX(0,Charges!P14),IFERROR(VLOOKUP(Charges!P14,Paramètres!$A$15:$B$18,2,FALSE),0))),0)),0)</f>
        <v>0</v>
      </c>
      <c r="P14" t="n">
        <f>IF(12&lt;=Paramètres!$B$9,MAX(0,IFERROR(N(IF(ISNUMBER(Charges!Q14),MAX(0,Charges!Q14),IFERROR(VLOOKUP(Charges!Q14,Paramètres!$A$15:$B$18,2,FALSE),0))),0)),0)</f>
        <v>0</v>
      </c>
      <c r="Q14" t="n">
        <f>IF(13&lt;=Paramètres!$B$9,MAX(0,IFERROR(N(IF(ISNUMBER(Charges!R14),MAX(0,Charges!R14),IFERROR(VLOOKUP(Charges!R14,Paramètres!$A$15:$B$18,2,FALSE),0))),0)),0)</f>
        <v>0</v>
      </c>
      <c r="R14" t="n">
        <f>SUM(E14:Q14)</f>
        <v>0</v>
      </c>
      <c r="S14" t="n">
        <f>IF(IFERROR(VLOOKUP(A14,'Projets'!$A$8:$Z$67,7,FALSE),"")="Engager",1,0)</f>
        <v>0</v>
      </c>
      <c r="T14" t="n">
        <f>IF(OR(Charges!F14="",AND(ISNUMBER(Charges!F14),Charges!F14&gt;=0),Charges!F14="S",Charges!F14="M",Charges!F14="L",Charges!F14="XL"),0,1)+IF(OR(Charges!G14="",AND(ISNUMBER(Charges!G14),Charges!G14&gt;=0),Charges!G14="S",Charges!G14="M",Charges!G14="L",Charges!G14="XL"),0,1)+IF(OR(Charges!H14="",AND(ISNUMBER(Charges!H14),Charges!H14&gt;=0),Charges!H14="S",Charges!H14="M",Charges!H14="L",Charges!H14="XL"),0,1)+IF(OR(Charges!I14="",AND(ISNUMBER(Charges!I14),Charges!I14&gt;=0),Charges!I14="S",Charges!I14="M",Charges!I14="L",Charges!I14="XL"),0,1)+IF(OR(Charges!J14="",AND(ISNUMBER(Charges!J14),Charges!J14&gt;=0),Charges!J14="S",Charges!J14="M",Charges!J14="L",Charges!J14="XL"),0,1)+IF(OR(Charges!K14="",AND(ISNUMBER(Charges!K14),Charges!K14&gt;=0),Charges!K14="S",Charges!K14="M",Charges!K14="L",Charges!K14="XL"),0,1)+IF(OR(Charges!L14="",AND(ISNUMBER(Charges!L14),Charges!L14&gt;=0),Charges!L14="S",Charges!L14="M",Charges!L14="L",Charges!L14="XL"),0,1)+IF(OR(Charges!M14="",AND(ISNUMBER(Charges!M14),Charges!M14&gt;=0),Charges!M14="S",Charges!M14="M",Charges!M14="L",Charges!M14="XL"),0,1)+IF(OR(Charges!N14="",AND(ISNUMBER(Charges!N14),Charges!N14&gt;=0),Charges!N14="S",Charges!N14="M",Charges!N14="L",Charges!N14="XL"),0,1)+IF(OR(Charges!O14="",AND(ISNUMBER(Charges!O14),Charges!O14&gt;=0),Charges!O14="S",Charges!O14="M",Charges!O14="L",Charges!O14="XL"),0,1)+IF(OR(Charges!P14="",AND(ISNUMBER(Charges!P14),Charges!P14&gt;=0),Charges!P14="S",Charges!P14="M",Charges!P14="L",Charges!P14="XL"),0,1)+IF(OR(Charges!Q14="",AND(ISNUMBER(Charges!Q14),Charges!Q14&gt;=0),Charges!Q14="S",Charges!Q14="M",Charges!Q14="L",Charges!Q14="XL"),0,1)+IF(OR(Charges!R14="",AND(ISNUMBER(Charges!R14),Charges!R14&gt;=0),Charges!R14="S",Charges!R14="M",Charges!R14="L",Charges!R14="XL"),0,1)</f>
        <v>0</v>
      </c>
      <c r="U14" t="n">
        <f>IF(AND(1&gt;Paramètres!$B$9,Charges!F14&lt;&gt;"",Charges!F14&lt;&gt;0),1,0)+IF(AND(2&gt;Paramètres!$B$9,Charges!G14&lt;&gt;"",Charges!G14&lt;&gt;0),1,0)+IF(AND(3&gt;Paramètres!$B$9,Charges!H14&lt;&gt;"",Charges!H14&lt;&gt;0),1,0)+IF(AND(4&gt;Paramètres!$B$9,Charges!I14&lt;&gt;"",Charges!I14&lt;&gt;0),1,0)+IF(AND(5&gt;Paramètres!$B$9,Charges!J14&lt;&gt;"",Charges!J14&lt;&gt;0),1,0)+IF(AND(6&gt;Paramètres!$B$9,Charges!K14&lt;&gt;"",Charges!K14&lt;&gt;0),1,0)+IF(AND(7&gt;Paramètres!$B$9,Charges!L14&lt;&gt;"",Charges!L14&lt;&gt;0),1,0)+IF(AND(8&gt;Paramètres!$B$9,Charges!M14&lt;&gt;"",Charges!M14&lt;&gt;0),1,0)+IF(AND(9&gt;Paramètres!$B$9,Charges!N14&lt;&gt;"",Charges!N14&lt;&gt;0),1,0)+IF(AND(10&gt;Paramètres!$B$9,Charges!O14&lt;&gt;"",Charges!O14&lt;&gt;0),1,0)+IF(AND(11&gt;Paramètres!$B$9,Charges!P14&lt;&gt;"",Charges!P14&lt;&gt;0),1,0)+IF(AND(12&gt;Paramètres!$B$9,Charges!Q14&lt;&gt;"",Charges!Q14&lt;&gt;0),1,0)+IF(AND(13&gt;Paramètres!$B$9,Charges!R14&lt;&gt;"",Charges!R14&lt;&gt;0),1,0)</f>
        <v>0</v>
      </c>
      <c r="V14" t="n">
        <f>IF(IFERROR(VLOOKUP(A14,'Projets'!$A$8:$Z$67,5,FALSE),"")="Engager",1,0)</f>
        <v>0</v>
      </c>
      <c r="W14" t="n">
        <f>IF(IFERROR(VLOOKUP(A14,'Projets'!$A$8:$Z$67,6,FALSE),"")="Engager",1,0)</f>
        <v>0</v>
      </c>
      <c r="X14" t="n">
        <f>E14*S14</f>
        <v>0</v>
      </c>
      <c r="Y14" t="n">
        <f>F14*S14</f>
        <v>0</v>
      </c>
      <c r="Z14" t="n">
        <f>G14*S14</f>
        <v>0</v>
      </c>
      <c r="AA14" t="n">
        <f>H14*S14</f>
        <v>0</v>
      </c>
      <c r="AB14" t="n">
        <f>I14*S14</f>
        <v>0</v>
      </c>
      <c r="AC14" t="n">
        <f>J14*S14</f>
        <v>0</v>
      </c>
      <c r="AD14" t="n">
        <f>K14*S14</f>
        <v>0</v>
      </c>
      <c r="AE14" t="n">
        <f>L14*S14</f>
        <v>0</v>
      </c>
      <c r="AF14" t="n">
        <f>M14*S14</f>
        <v>0</v>
      </c>
      <c r="AG14" t="n">
        <f>N14*S14</f>
        <v>0</v>
      </c>
      <c r="AH14" t="n">
        <f>O14*S14</f>
        <v>0</v>
      </c>
      <c r="AI14" t="n">
        <f>P14*S14</f>
        <v>0</v>
      </c>
      <c r="AJ14" t="n">
        <f>Q14*S14</f>
        <v>0</v>
      </c>
      <c r="AK14" t="n">
        <f>E14*V14</f>
        <v>0</v>
      </c>
      <c r="AL14" t="n">
        <f>F14*V14</f>
        <v>0</v>
      </c>
      <c r="AM14" t="n">
        <f>G14*V14</f>
        <v>0</v>
      </c>
      <c r="AN14" t="n">
        <f>H14*V14</f>
        <v>0</v>
      </c>
      <c r="AO14" t="n">
        <f>I14*V14</f>
        <v>0</v>
      </c>
      <c r="AP14" t="n">
        <f>J14*V14</f>
        <v>0</v>
      </c>
      <c r="AQ14" t="n">
        <f>K14*V14</f>
        <v>0</v>
      </c>
      <c r="AR14" t="n">
        <f>L14*V14</f>
        <v>0</v>
      </c>
      <c r="AS14" t="n">
        <f>M14*V14</f>
        <v>0</v>
      </c>
      <c r="AT14" t="n">
        <f>N14*V14</f>
        <v>0</v>
      </c>
      <c r="AU14" t="n">
        <f>O14*V14</f>
        <v>0</v>
      </c>
      <c r="AV14" t="n">
        <f>P14*V14</f>
        <v>0</v>
      </c>
      <c r="AW14" t="n">
        <f>Q14*V14</f>
        <v>0</v>
      </c>
      <c r="AX14" t="n">
        <f>E14*W14</f>
        <v>0</v>
      </c>
      <c r="AY14" t="n">
        <f>F14*W14</f>
        <v>0</v>
      </c>
      <c r="AZ14" t="n">
        <f>G14*W14</f>
        <v>0</v>
      </c>
      <c r="BA14" t="n">
        <f>H14*W14</f>
        <v>0</v>
      </c>
      <c r="BB14" t="n">
        <f>I14*W14</f>
        <v>0</v>
      </c>
      <c r="BC14" t="n">
        <f>J14*W14</f>
        <v>0</v>
      </c>
      <c r="BD14" t="n">
        <f>K14*W14</f>
        <v>0</v>
      </c>
      <c r="BE14" t="n">
        <f>L14*W14</f>
        <v>0</v>
      </c>
      <c r="BF14" t="n">
        <f>M14*W14</f>
        <v>0</v>
      </c>
      <c r="BG14" t="n">
        <f>N14*W14</f>
        <v>0</v>
      </c>
      <c r="BH14" t="n">
        <f>O14*W14</f>
        <v>0</v>
      </c>
      <c r="BI14" t="n">
        <f>P14*W14</f>
        <v>0</v>
      </c>
      <c r="BJ14" t="n">
        <f>Q14*W14</f>
        <v>0</v>
      </c>
      <c r="BM14" t="n">
        <f>IF(OR(Personnes!$A14="",1&gt;Paramètres!$B$9),0,MAX(0,SUMIF($B$8:$B$247,Personnes!$A14,$E$8:$E$247)-'Planning par personne'!C14))</f>
        <v>0</v>
      </c>
      <c r="BN14" t="n">
        <f>IF(OR(Personnes!$A14="",2&gt;Paramètres!$B$9),0,MAX(0,SUMIF($B$8:$B$247,Personnes!$A14,$F$8:$F$247)-'Planning par personne'!D14))</f>
        <v>0</v>
      </c>
      <c r="BO14" t="n">
        <f>IF(OR(Personnes!$A14="",3&gt;Paramètres!$B$9),0,MAX(0,SUMIF($B$8:$B$247,Personnes!$A14,$G$8:$G$247)-'Planning par personne'!E14))</f>
        <v>0</v>
      </c>
      <c r="BP14" t="n">
        <f>IF(OR(Personnes!$A14="",4&gt;Paramètres!$B$9),0,MAX(0,SUMIF($B$8:$B$247,Personnes!$A14,$H$8:$H$247)-'Planning par personne'!F14))</f>
        <v>0</v>
      </c>
      <c r="BQ14" t="n">
        <f>IF(OR(Personnes!$A14="",5&gt;Paramètres!$B$9),0,MAX(0,SUMIF($B$8:$B$247,Personnes!$A14,$I$8:$I$247)-'Planning par personne'!G14))</f>
        <v>0</v>
      </c>
      <c r="BR14" t="n">
        <f>IF(OR(Personnes!$A14="",6&gt;Paramètres!$B$9),0,MAX(0,SUMIF($B$8:$B$247,Personnes!$A14,$J$8:$J$247)-'Planning par personne'!H14))</f>
        <v>0</v>
      </c>
      <c r="BS14" t="n">
        <f>IF(OR(Personnes!$A14="",7&gt;Paramètres!$B$9),0,MAX(0,SUMIF($B$8:$B$247,Personnes!$A14,$K$8:$K$247)-'Planning par personne'!I14))</f>
        <v>0</v>
      </c>
      <c r="BT14" t="n">
        <f>IF(OR(Personnes!$A14="",8&gt;Paramètres!$B$9),0,MAX(0,SUMIF($B$8:$B$247,Personnes!$A14,$L$8:$L$247)-'Planning par personne'!J14))</f>
        <v>0</v>
      </c>
      <c r="BU14" t="n">
        <f>IF(OR(Personnes!$A14="",9&gt;Paramètres!$B$9),0,MAX(0,SUMIF($B$8:$B$247,Personnes!$A14,$M$8:$M$247)-'Planning par personne'!K14))</f>
        <v>0</v>
      </c>
      <c r="BV14" t="n">
        <f>IF(OR(Personnes!$A14="",10&gt;Paramètres!$B$9),0,MAX(0,SUMIF($B$8:$B$247,Personnes!$A14,$N$8:$N$247)-'Planning par personne'!L14))</f>
        <v>0</v>
      </c>
      <c r="BW14" t="n">
        <f>IF(OR(Personnes!$A14="",11&gt;Paramètres!$B$9),0,MAX(0,SUMIF($B$8:$B$247,Personnes!$A14,$O$8:$O$247)-'Planning par personne'!M14))</f>
        <v>0</v>
      </c>
      <c r="BX14" t="n">
        <f>IF(OR(Personnes!$A14="",12&gt;Paramètres!$B$9),0,MAX(0,SUMIF($B$8:$B$247,Personnes!$A14,$P$8:$P$247)-'Planning par personne'!N14))</f>
        <v>0</v>
      </c>
      <c r="BY14" t="n">
        <f>IF(OR(Personnes!$A14="",13&gt;Paramètres!$B$9),0,MAX(0,SUMIF($B$8:$B$247,Personnes!$A14,$Q$8:$Q$247)-'Planning par personne'!O14))</f>
        <v>0</v>
      </c>
      <c r="BZ14" t="n">
        <f>IF(OR(Personnes!$A14="",1&gt;Paramètres!$B$9),0,MAX(0,SUMIF($B$8:$B$247,Personnes!$A14,$AK$8:$AK$247)-'Planning par personne'!C14))</f>
        <v>0</v>
      </c>
      <c r="CA14" t="n">
        <f>IF(OR(Personnes!$A14="",2&gt;Paramètres!$B$9),0,MAX(0,SUMIF($B$8:$B$247,Personnes!$A14,$AL$8:$AL$247)-'Planning par personne'!D14))</f>
        <v>0</v>
      </c>
      <c r="CB14" t="n">
        <f>IF(OR(Personnes!$A14="",3&gt;Paramètres!$B$9),0,MAX(0,SUMIF($B$8:$B$247,Personnes!$A14,$AM$8:$AM$247)-'Planning par personne'!E14))</f>
        <v>0</v>
      </c>
      <c r="CC14" t="n">
        <f>IF(OR(Personnes!$A14="",4&gt;Paramètres!$B$9),0,MAX(0,SUMIF($B$8:$B$247,Personnes!$A14,$AN$8:$AN$247)-'Planning par personne'!F14))</f>
        <v>0</v>
      </c>
      <c r="CD14" t="n">
        <f>IF(OR(Personnes!$A14="",5&gt;Paramètres!$B$9),0,MAX(0,SUMIF($B$8:$B$247,Personnes!$A14,$AO$8:$AO$247)-'Planning par personne'!G14))</f>
        <v>0</v>
      </c>
      <c r="CE14" t="n">
        <f>IF(OR(Personnes!$A14="",6&gt;Paramètres!$B$9),0,MAX(0,SUMIF($B$8:$B$247,Personnes!$A14,$AP$8:$AP$247)-'Planning par personne'!H14))</f>
        <v>0</v>
      </c>
      <c r="CF14" t="n">
        <f>IF(OR(Personnes!$A14="",7&gt;Paramètres!$B$9),0,MAX(0,SUMIF($B$8:$B$247,Personnes!$A14,$AQ$8:$AQ$247)-'Planning par personne'!I14))</f>
        <v>0</v>
      </c>
      <c r="CG14" t="n">
        <f>IF(OR(Personnes!$A14="",8&gt;Paramètres!$B$9),0,MAX(0,SUMIF($B$8:$B$247,Personnes!$A14,$AR$8:$AR$247)-'Planning par personne'!J14))</f>
        <v>0</v>
      </c>
      <c r="CH14" t="n">
        <f>IF(OR(Personnes!$A14="",9&gt;Paramètres!$B$9),0,MAX(0,SUMIF($B$8:$B$247,Personnes!$A14,$AS$8:$AS$247)-'Planning par personne'!K14))</f>
        <v>0</v>
      </c>
      <c r="CI14" t="n">
        <f>IF(OR(Personnes!$A14="",10&gt;Paramètres!$B$9),0,MAX(0,SUMIF($B$8:$B$247,Personnes!$A14,$AT$8:$AT$247)-'Planning par personne'!L14))</f>
        <v>0</v>
      </c>
      <c r="CJ14" t="n">
        <f>IF(OR(Personnes!$A14="",11&gt;Paramètres!$B$9),0,MAX(0,SUMIF($B$8:$B$247,Personnes!$A14,$AU$8:$AU$247)-'Planning par personne'!M14))</f>
        <v>0</v>
      </c>
      <c r="CK14" t="n">
        <f>IF(OR(Personnes!$A14="",12&gt;Paramètres!$B$9),0,MAX(0,SUMIF($B$8:$B$247,Personnes!$A14,$AV$8:$AV$247)-'Planning par personne'!N14))</f>
        <v>0</v>
      </c>
      <c r="CL14" t="n">
        <f>IF(OR(Personnes!$A14="",13&gt;Paramètres!$B$9),0,MAX(0,SUMIF($B$8:$B$247,Personnes!$A14,$AW$8:$AW$247)-'Planning par personne'!O14))</f>
        <v>0</v>
      </c>
      <c r="CM14" t="n">
        <f>IF(OR(Personnes!$A14="",1&gt;Paramètres!$B$9),0,MAX(0,SUMIF($B$8:$B$247,Personnes!$A14,$AX$8:$AX$247)-'Planning par personne'!C14))</f>
        <v>0</v>
      </c>
      <c r="CN14" t="n">
        <f>IF(OR(Personnes!$A14="",2&gt;Paramètres!$B$9),0,MAX(0,SUMIF($B$8:$B$247,Personnes!$A14,$AY$8:$AY$247)-'Planning par personne'!D14))</f>
        <v>0</v>
      </c>
      <c r="CO14" t="n">
        <f>IF(OR(Personnes!$A14="",3&gt;Paramètres!$B$9),0,MAX(0,SUMIF($B$8:$B$247,Personnes!$A14,$AZ$8:$AZ$247)-'Planning par personne'!E14))</f>
        <v>0</v>
      </c>
      <c r="CP14" t="n">
        <f>IF(OR(Personnes!$A14="",4&gt;Paramètres!$B$9),0,MAX(0,SUMIF($B$8:$B$247,Personnes!$A14,$BA$8:$BA$247)-'Planning par personne'!F14))</f>
        <v>0</v>
      </c>
      <c r="CQ14" t="n">
        <f>IF(OR(Personnes!$A14="",5&gt;Paramètres!$B$9),0,MAX(0,SUMIF($B$8:$B$247,Personnes!$A14,$BB$8:$BB$247)-'Planning par personne'!G14))</f>
        <v>0</v>
      </c>
      <c r="CR14" t="n">
        <f>IF(OR(Personnes!$A14="",6&gt;Paramètres!$B$9),0,MAX(0,SUMIF($B$8:$B$247,Personnes!$A14,$BC$8:$BC$247)-'Planning par personne'!H14))</f>
        <v>0</v>
      </c>
      <c r="CS14" t="n">
        <f>IF(OR(Personnes!$A14="",7&gt;Paramètres!$B$9),0,MAX(0,SUMIF($B$8:$B$247,Personnes!$A14,$BD$8:$BD$247)-'Planning par personne'!I14))</f>
        <v>0</v>
      </c>
      <c r="CT14" t="n">
        <f>IF(OR(Personnes!$A14="",8&gt;Paramètres!$B$9),0,MAX(0,SUMIF($B$8:$B$247,Personnes!$A14,$BE$8:$BE$247)-'Planning par personne'!J14))</f>
        <v>0</v>
      </c>
      <c r="CU14" t="n">
        <f>IF(OR(Personnes!$A14="",9&gt;Paramètres!$B$9),0,MAX(0,SUMIF($B$8:$B$247,Personnes!$A14,$BF$8:$BF$247)-'Planning par personne'!K14))</f>
        <v>0</v>
      </c>
      <c r="CV14" t="n">
        <f>IF(OR(Personnes!$A14="",10&gt;Paramètres!$B$9),0,MAX(0,SUMIF($B$8:$B$247,Personnes!$A14,$BG$8:$BG$247)-'Planning par personne'!L14))</f>
        <v>0</v>
      </c>
      <c r="CW14" t="n">
        <f>IF(OR(Personnes!$A14="",11&gt;Paramètres!$B$9),0,MAX(0,SUMIF($B$8:$B$247,Personnes!$A14,$BH$8:$BH$247)-'Planning par personne'!M14))</f>
        <v>0</v>
      </c>
      <c r="CX14" t="n">
        <f>IF(OR(Personnes!$A14="",12&gt;Paramètres!$B$9),0,MAX(0,SUMIF($B$8:$B$247,Personnes!$A14,$BI$8:$BI$247)-'Planning par personne'!N14))</f>
        <v>0</v>
      </c>
      <c r="CY14" t="n">
        <f>IF(OR(Personnes!$A14="",13&gt;Paramètres!$B$9),0,MAX(0,SUMIF($B$8:$B$247,Personnes!$A14,$BJ$8:$BJ$247)-'Planning par personne'!O14))</f>
        <v>0</v>
      </c>
      <c r="DJ14" t="n">
        <f>SUM(BM14:BY14)</f>
        <v>0</v>
      </c>
      <c r="DK14" t="n">
        <f>SUM(BZ14:CL14)</f>
        <v>0</v>
      </c>
      <c r="DL14" t="n">
        <f>SUM(CM14:CY14)</f>
        <v>0</v>
      </c>
      <c r="DM14" t="str">
        <f>IF(AND(Projets!A14&lt;&gt;"",Projets!G14="Engager"),DM13&amp;IF(DM13="","",", ")&amp;Projets!B14,DM13)</f>
        <v/>
      </c>
      <c r="DN14" t="str">
        <f>IF(AND(Projets!A14&lt;&gt;"",Projets!G14="Reporter"),DN13&amp;IF(DN13="","",", ")&amp;Projets!B14,DN13)</f>
        <v/>
      </c>
    </row>
    <row r="15">
      <c r="A15" t="n">
        <f>Charges!A15</f>
        <v>0</v>
      </c>
      <c r="B15" t="n">
        <f>Charges!C15</f>
        <v>0</v>
      </c>
      <c r="C15" t="str">
        <f>Charges!D15</f>
        <v/>
      </c>
      <c r="E15" t="n">
        <f>IF(1&lt;=Paramètres!$B$9,MAX(0,IFERROR(N(IF(ISNUMBER(Charges!F15),MAX(0,Charges!F15),IFERROR(VLOOKUP(Charges!F15,Paramètres!$A$15:$B$18,2,FALSE),0))),0)),0)</f>
        <v>0</v>
      </c>
      <c r="F15" t="n">
        <f>IF(2&lt;=Paramètres!$B$9,MAX(0,IFERROR(N(IF(ISNUMBER(Charges!G15),MAX(0,Charges!G15),IFERROR(VLOOKUP(Charges!G15,Paramètres!$A$15:$B$18,2,FALSE),0))),0)),0)</f>
        <v>0</v>
      </c>
      <c r="G15" t="n">
        <f>IF(3&lt;=Paramètres!$B$9,MAX(0,IFERROR(N(IF(ISNUMBER(Charges!H15),MAX(0,Charges!H15),IFERROR(VLOOKUP(Charges!H15,Paramètres!$A$15:$B$18,2,FALSE),0))),0)),0)</f>
        <v>0</v>
      </c>
      <c r="H15" t="n">
        <f>IF(4&lt;=Paramètres!$B$9,MAX(0,IFERROR(N(IF(ISNUMBER(Charges!I15),MAX(0,Charges!I15),IFERROR(VLOOKUP(Charges!I15,Paramètres!$A$15:$B$18,2,FALSE),0))),0)),0)</f>
        <v>0</v>
      </c>
      <c r="I15" t="n">
        <f>IF(5&lt;=Paramètres!$B$9,MAX(0,IFERROR(N(IF(ISNUMBER(Charges!J15),MAX(0,Charges!J15),IFERROR(VLOOKUP(Charges!J15,Paramètres!$A$15:$B$18,2,FALSE),0))),0)),0)</f>
        <v>0</v>
      </c>
      <c r="J15" t="n">
        <f>IF(6&lt;=Paramètres!$B$9,MAX(0,IFERROR(N(IF(ISNUMBER(Charges!K15),MAX(0,Charges!K15),IFERROR(VLOOKUP(Charges!K15,Paramètres!$A$15:$B$18,2,FALSE),0))),0)),0)</f>
        <v>0</v>
      </c>
      <c r="K15" t="n">
        <f>IF(7&lt;=Paramètres!$B$9,MAX(0,IFERROR(N(IF(ISNUMBER(Charges!L15),MAX(0,Charges!L15),IFERROR(VLOOKUP(Charges!L15,Paramètres!$A$15:$B$18,2,FALSE),0))),0)),0)</f>
        <v>0</v>
      </c>
      <c r="L15" t="n">
        <f>IF(8&lt;=Paramètres!$B$9,MAX(0,IFERROR(N(IF(ISNUMBER(Charges!M15),MAX(0,Charges!M15),IFERROR(VLOOKUP(Charges!M15,Paramètres!$A$15:$B$18,2,FALSE),0))),0)),0)</f>
        <v>0</v>
      </c>
      <c r="M15" t="n">
        <f>IF(9&lt;=Paramètres!$B$9,MAX(0,IFERROR(N(IF(ISNUMBER(Charges!N15),MAX(0,Charges!N15),IFERROR(VLOOKUP(Charges!N15,Paramètres!$A$15:$B$18,2,FALSE),0))),0)),0)</f>
        <v>0</v>
      </c>
      <c r="N15" t="n">
        <f>IF(10&lt;=Paramètres!$B$9,MAX(0,IFERROR(N(IF(ISNUMBER(Charges!O15),MAX(0,Charges!O15),IFERROR(VLOOKUP(Charges!O15,Paramètres!$A$15:$B$18,2,FALSE),0))),0)),0)</f>
        <v>0</v>
      </c>
      <c r="O15" t="n">
        <f>IF(11&lt;=Paramètres!$B$9,MAX(0,IFERROR(N(IF(ISNUMBER(Charges!P15),MAX(0,Charges!P15),IFERROR(VLOOKUP(Charges!P15,Paramètres!$A$15:$B$18,2,FALSE),0))),0)),0)</f>
        <v>0</v>
      </c>
      <c r="P15" t="n">
        <f>IF(12&lt;=Paramètres!$B$9,MAX(0,IFERROR(N(IF(ISNUMBER(Charges!Q15),MAX(0,Charges!Q15),IFERROR(VLOOKUP(Charges!Q15,Paramètres!$A$15:$B$18,2,FALSE),0))),0)),0)</f>
        <v>0</v>
      </c>
      <c r="Q15" t="n">
        <f>IF(13&lt;=Paramètres!$B$9,MAX(0,IFERROR(N(IF(ISNUMBER(Charges!R15),MAX(0,Charges!R15),IFERROR(VLOOKUP(Charges!R15,Paramètres!$A$15:$B$18,2,FALSE),0))),0)),0)</f>
        <v>0</v>
      </c>
      <c r="R15" t="n">
        <f>SUM(E15:Q15)</f>
        <v>0</v>
      </c>
      <c r="S15" t="n">
        <f>IF(IFERROR(VLOOKUP(A15,'Projets'!$A$8:$Z$67,7,FALSE),"")="Engager",1,0)</f>
        <v>0</v>
      </c>
      <c r="T15" t="n">
        <f>IF(OR(Charges!F15="",AND(ISNUMBER(Charges!F15),Charges!F15&gt;=0),Charges!F15="S",Charges!F15="M",Charges!F15="L",Charges!F15="XL"),0,1)+IF(OR(Charges!G15="",AND(ISNUMBER(Charges!G15),Charges!G15&gt;=0),Charges!G15="S",Charges!G15="M",Charges!G15="L",Charges!G15="XL"),0,1)+IF(OR(Charges!H15="",AND(ISNUMBER(Charges!H15),Charges!H15&gt;=0),Charges!H15="S",Charges!H15="M",Charges!H15="L",Charges!H15="XL"),0,1)+IF(OR(Charges!I15="",AND(ISNUMBER(Charges!I15),Charges!I15&gt;=0),Charges!I15="S",Charges!I15="M",Charges!I15="L",Charges!I15="XL"),0,1)+IF(OR(Charges!J15="",AND(ISNUMBER(Charges!J15),Charges!J15&gt;=0),Charges!J15="S",Charges!J15="M",Charges!J15="L",Charges!J15="XL"),0,1)+IF(OR(Charges!K15="",AND(ISNUMBER(Charges!K15),Charges!K15&gt;=0),Charges!K15="S",Charges!K15="M",Charges!K15="L",Charges!K15="XL"),0,1)+IF(OR(Charges!L15="",AND(ISNUMBER(Charges!L15),Charges!L15&gt;=0),Charges!L15="S",Charges!L15="M",Charges!L15="L",Charges!L15="XL"),0,1)+IF(OR(Charges!M15="",AND(ISNUMBER(Charges!M15),Charges!M15&gt;=0),Charges!M15="S",Charges!M15="M",Charges!M15="L",Charges!M15="XL"),0,1)+IF(OR(Charges!N15="",AND(ISNUMBER(Charges!N15),Charges!N15&gt;=0),Charges!N15="S",Charges!N15="M",Charges!N15="L",Charges!N15="XL"),0,1)+IF(OR(Charges!O15="",AND(ISNUMBER(Charges!O15),Charges!O15&gt;=0),Charges!O15="S",Charges!O15="M",Charges!O15="L",Charges!O15="XL"),0,1)+IF(OR(Charges!P15="",AND(ISNUMBER(Charges!P15),Charges!P15&gt;=0),Charges!P15="S",Charges!P15="M",Charges!P15="L",Charges!P15="XL"),0,1)+IF(OR(Charges!Q15="",AND(ISNUMBER(Charges!Q15),Charges!Q15&gt;=0),Charges!Q15="S",Charges!Q15="M",Charges!Q15="L",Charges!Q15="XL"),0,1)+IF(OR(Charges!R15="",AND(ISNUMBER(Charges!R15),Charges!R15&gt;=0),Charges!R15="S",Charges!R15="M",Charges!R15="L",Charges!R15="XL"),0,1)</f>
        <v>0</v>
      </c>
      <c r="U15" t="n">
        <f>IF(AND(1&gt;Paramètres!$B$9,Charges!F15&lt;&gt;"",Charges!F15&lt;&gt;0),1,0)+IF(AND(2&gt;Paramètres!$B$9,Charges!G15&lt;&gt;"",Charges!G15&lt;&gt;0),1,0)+IF(AND(3&gt;Paramètres!$B$9,Charges!H15&lt;&gt;"",Charges!H15&lt;&gt;0),1,0)+IF(AND(4&gt;Paramètres!$B$9,Charges!I15&lt;&gt;"",Charges!I15&lt;&gt;0),1,0)+IF(AND(5&gt;Paramètres!$B$9,Charges!J15&lt;&gt;"",Charges!J15&lt;&gt;0),1,0)+IF(AND(6&gt;Paramètres!$B$9,Charges!K15&lt;&gt;"",Charges!K15&lt;&gt;0),1,0)+IF(AND(7&gt;Paramètres!$B$9,Charges!L15&lt;&gt;"",Charges!L15&lt;&gt;0),1,0)+IF(AND(8&gt;Paramètres!$B$9,Charges!M15&lt;&gt;"",Charges!M15&lt;&gt;0),1,0)+IF(AND(9&gt;Paramètres!$B$9,Charges!N15&lt;&gt;"",Charges!N15&lt;&gt;0),1,0)+IF(AND(10&gt;Paramètres!$B$9,Charges!O15&lt;&gt;"",Charges!O15&lt;&gt;0),1,0)+IF(AND(11&gt;Paramètres!$B$9,Charges!P15&lt;&gt;"",Charges!P15&lt;&gt;0),1,0)+IF(AND(12&gt;Paramètres!$B$9,Charges!Q15&lt;&gt;"",Charges!Q15&lt;&gt;0),1,0)+IF(AND(13&gt;Paramètres!$B$9,Charges!R15&lt;&gt;"",Charges!R15&lt;&gt;0),1,0)</f>
        <v>0</v>
      </c>
      <c r="V15" t="n">
        <f>IF(IFERROR(VLOOKUP(A15,'Projets'!$A$8:$Z$67,5,FALSE),"")="Engager",1,0)</f>
        <v>0</v>
      </c>
      <c r="W15" t="n">
        <f>IF(IFERROR(VLOOKUP(A15,'Projets'!$A$8:$Z$67,6,FALSE),"")="Engager",1,0)</f>
        <v>0</v>
      </c>
      <c r="X15" t="n">
        <f>E15*S15</f>
        <v>0</v>
      </c>
      <c r="Y15" t="n">
        <f>F15*S15</f>
        <v>0</v>
      </c>
      <c r="Z15" t="n">
        <f>G15*S15</f>
        <v>0</v>
      </c>
      <c r="AA15" t="n">
        <f>H15*S15</f>
        <v>0</v>
      </c>
      <c r="AB15" t="n">
        <f>I15*S15</f>
        <v>0</v>
      </c>
      <c r="AC15" t="n">
        <f>J15*S15</f>
        <v>0</v>
      </c>
      <c r="AD15" t="n">
        <f>K15*S15</f>
        <v>0</v>
      </c>
      <c r="AE15" t="n">
        <f>L15*S15</f>
        <v>0</v>
      </c>
      <c r="AF15" t="n">
        <f>M15*S15</f>
        <v>0</v>
      </c>
      <c r="AG15" t="n">
        <f>N15*S15</f>
        <v>0</v>
      </c>
      <c r="AH15" t="n">
        <f>O15*S15</f>
        <v>0</v>
      </c>
      <c r="AI15" t="n">
        <f>P15*S15</f>
        <v>0</v>
      </c>
      <c r="AJ15" t="n">
        <f>Q15*S15</f>
        <v>0</v>
      </c>
      <c r="AK15" t="n">
        <f>E15*V15</f>
        <v>0</v>
      </c>
      <c r="AL15" t="n">
        <f>F15*V15</f>
        <v>0</v>
      </c>
      <c r="AM15" t="n">
        <f>G15*V15</f>
        <v>0</v>
      </c>
      <c r="AN15" t="n">
        <f>H15*V15</f>
        <v>0</v>
      </c>
      <c r="AO15" t="n">
        <f>I15*V15</f>
        <v>0</v>
      </c>
      <c r="AP15" t="n">
        <f>J15*V15</f>
        <v>0</v>
      </c>
      <c r="AQ15" t="n">
        <f>K15*V15</f>
        <v>0</v>
      </c>
      <c r="AR15" t="n">
        <f>L15*V15</f>
        <v>0</v>
      </c>
      <c r="AS15" t="n">
        <f>M15*V15</f>
        <v>0</v>
      </c>
      <c r="AT15" t="n">
        <f>N15*V15</f>
        <v>0</v>
      </c>
      <c r="AU15" t="n">
        <f>O15*V15</f>
        <v>0</v>
      </c>
      <c r="AV15" t="n">
        <f>P15*V15</f>
        <v>0</v>
      </c>
      <c r="AW15" t="n">
        <f>Q15*V15</f>
        <v>0</v>
      </c>
      <c r="AX15" t="n">
        <f>E15*W15</f>
        <v>0</v>
      </c>
      <c r="AY15" t="n">
        <f>F15*W15</f>
        <v>0</v>
      </c>
      <c r="AZ15" t="n">
        <f>G15*W15</f>
        <v>0</v>
      </c>
      <c r="BA15" t="n">
        <f>H15*W15</f>
        <v>0</v>
      </c>
      <c r="BB15" t="n">
        <f>I15*W15</f>
        <v>0</v>
      </c>
      <c r="BC15" t="n">
        <f>J15*W15</f>
        <v>0</v>
      </c>
      <c r="BD15" t="n">
        <f>K15*W15</f>
        <v>0</v>
      </c>
      <c r="BE15" t="n">
        <f>L15*W15</f>
        <v>0</v>
      </c>
      <c r="BF15" t="n">
        <f>M15*W15</f>
        <v>0</v>
      </c>
      <c r="BG15" t="n">
        <f>N15*W15</f>
        <v>0</v>
      </c>
      <c r="BH15" t="n">
        <f>O15*W15</f>
        <v>0</v>
      </c>
      <c r="BI15" t="n">
        <f>P15*W15</f>
        <v>0</v>
      </c>
      <c r="BJ15" t="n">
        <f>Q15*W15</f>
        <v>0</v>
      </c>
      <c r="BM15" t="n">
        <f>IF(OR(Personnes!$A15="",1&gt;Paramètres!$B$9),0,MAX(0,SUMIF($B$8:$B$247,Personnes!$A15,$E$8:$E$247)-'Planning par personne'!C15))</f>
        <v>0</v>
      </c>
      <c r="BN15" t="n">
        <f>IF(OR(Personnes!$A15="",2&gt;Paramètres!$B$9),0,MAX(0,SUMIF($B$8:$B$247,Personnes!$A15,$F$8:$F$247)-'Planning par personne'!D15))</f>
        <v>0</v>
      </c>
      <c r="BO15" t="n">
        <f>IF(OR(Personnes!$A15="",3&gt;Paramètres!$B$9),0,MAX(0,SUMIF($B$8:$B$247,Personnes!$A15,$G$8:$G$247)-'Planning par personne'!E15))</f>
        <v>0</v>
      </c>
      <c r="BP15" t="n">
        <f>IF(OR(Personnes!$A15="",4&gt;Paramètres!$B$9),0,MAX(0,SUMIF($B$8:$B$247,Personnes!$A15,$H$8:$H$247)-'Planning par personne'!F15))</f>
        <v>0</v>
      </c>
      <c r="BQ15" t="n">
        <f>IF(OR(Personnes!$A15="",5&gt;Paramètres!$B$9),0,MAX(0,SUMIF($B$8:$B$247,Personnes!$A15,$I$8:$I$247)-'Planning par personne'!G15))</f>
        <v>0</v>
      </c>
      <c r="BR15" t="n">
        <f>IF(OR(Personnes!$A15="",6&gt;Paramètres!$B$9),0,MAX(0,SUMIF($B$8:$B$247,Personnes!$A15,$J$8:$J$247)-'Planning par personne'!H15))</f>
        <v>0</v>
      </c>
      <c r="BS15" t="n">
        <f>IF(OR(Personnes!$A15="",7&gt;Paramètres!$B$9),0,MAX(0,SUMIF($B$8:$B$247,Personnes!$A15,$K$8:$K$247)-'Planning par personne'!I15))</f>
        <v>0</v>
      </c>
      <c r="BT15" t="n">
        <f>IF(OR(Personnes!$A15="",8&gt;Paramètres!$B$9),0,MAX(0,SUMIF($B$8:$B$247,Personnes!$A15,$L$8:$L$247)-'Planning par personne'!J15))</f>
        <v>0</v>
      </c>
      <c r="BU15" t="n">
        <f>IF(OR(Personnes!$A15="",9&gt;Paramètres!$B$9),0,MAX(0,SUMIF($B$8:$B$247,Personnes!$A15,$M$8:$M$247)-'Planning par personne'!K15))</f>
        <v>0</v>
      </c>
      <c r="BV15" t="n">
        <f>IF(OR(Personnes!$A15="",10&gt;Paramètres!$B$9),0,MAX(0,SUMIF($B$8:$B$247,Personnes!$A15,$N$8:$N$247)-'Planning par personne'!L15))</f>
        <v>0</v>
      </c>
      <c r="BW15" t="n">
        <f>IF(OR(Personnes!$A15="",11&gt;Paramètres!$B$9),0,MAX(0,SUMIF($B$8:$B$247,Personnes!$A15,$O$8:$O$247)-'Planning par personne'!M15))</f>
        <v>0</v>
      </c>
      <c r="BX15" t="n">
        <f>IF(OR(Personnes!$A15="",12&gt;Paramètres!$B$9),0,MAX(0,SUMIF($B$8:$B$247,Personnes!$A15,$P$8:$P$247)-'Planning par personne'!N15))</f>
        <v>0</v>
      </c>
      <c r="BY15" t="n">
        <f>IF(OR(Personnes!$A15="",13&gt;Paramètres!$B$9),0,MAX(0,SUMIF($B$8:$B$247,Personnes!$A15,$Q$8:$Q$247)-'Planning par personne'!O15))</f>
        <v>0</v>
      </c>
      <c r="BZ15" t="n">
        <f>IF(OR(Personnes!$A15="",1&gt;Paramètres!$B$9),0,MAX(0,SUMIF($B$8:$B$247,Personnes!$A15,$AK$8:$AK$247)-'Planning par personne'!C15))</f>
        <v>0</v>
      </c>
      <c r="CA15" t="n">
        <f>IF(OR(Personnes!$A15="",2&gt;Paramètres!$B$9),0,MAX(0,SUMIF($B$8:$B$247,Personnes!$A15,$AL$8:$AL$247)-'Planning par personne'!D15))</f>
        <v>0</v>
      </c>
      <c r="CB15" t="n">
        <f>IF(OR(Personnes!$A15="",3&gt;Paramètres!$B$9),0,MAX(0,SUMIF($B$8:$B$247,Personnes!$A15,$AM$8:$AM$247)-'Planning par personne'!E15))</f>
        <v>0</v>
      </c>
      <c r="CC15" t="n">
        <f>IF(OR(Personnes!$A15="",4&gt;Paramètres!$B$9),0,MAX(0,SUMIF($B$8:$B$247,Personnes!$A15,$AN$8:$AN$247)-'Planning par personne'!F15))</f>
        <v>0</v>
      </c>
      <c r="CD15" t="n">
        <f>IF(OR(Personnes!$A15="",5&gt;Paramètres!$B$9),0,MAX(0,SUMIF($B$8:$B$247,Personnes!$A15,$AO$8:$AO$247)-'Planning par personne'!G15))</f>
        <v>0</v>
      </c>
      <c r="CE15" t="n">
        <f>IF(OR(Personnes!$A15="",6&gt;Paramètres!$B$9),0,MAX(0,SUMIF($B$8:$B$247,Personnes!$A15,$AP$8:$AP$247)-'Planning par personne'!H15))</f>
        <v>0</v>
      </c>
      <c r="CF15" t="n">
        <f>IF(OR(Personnes!$A15="",7&gt;Paramètres!$B$9),0,MAX(0,SUMIF($B$8:$B$247,Personnes!$A15,$AQ$8:$AQ$247)-'Planning par personne'!I15))</f>
        <v>0</v>
      </c>
      <c r="CG15" t="n">
        <f>IF(OR(Personnes!$A15="",8&gt;Paramètres!$B$9),0,MAX(0,SUMIF($B$8:$B$247,Personnes!$A15,$AR$8:$AR$247)-'Planning par personne'!J15))</f>
        <v>0</v>
      </c>
      <c r="CH15" t="n">
        <f>IF(OR(Personnes!$A15="",9&gt;Paramètres!$B$9),0,MAX(0,SUMIF($B$8:$B$247,Personnes!$A15,$AS$8:$AS$247)-'Planning par personne'!K15))</f>
        <v>0</v>
      </c>
      <c r="CI15" t="n">
        <f>IF(OR(Personnes!$A15="",10&gt;Paramètres!$B$9),0,MAX(0,SUMIF($B$8:$B$247,Personnes!$A15,$AT$8:$AT$247)-'Planning par personne'!L15))</f>
        <v>0</v>
      </c>
      <c r="CJ15" t="n">
        <f>IF(OR(Personnes!$A15="",11&gt;Paramètres!$B$9),0,MAX(0,SUMIF($B$8:$B$247,Personnes!$A15,$AU$8:$AU$247)-'Planning par personne'!M15))</f>
        <v>0</v>
      </c>
      <c r="CK15" t="n">
        <f>IF(OR(Personnes!$A15="",12&gt;Paramètres!$B$9),0,MAX(0,SUMIF($B$8:$B$247,Personnes!$A15,$AV$8:$AV$247)-'Planning par personne'!N15))</f>
        <v>0</v>
      </c>
      <c r="CL15" t="n">
        <f>IF(OR(Personnes!$A15="",13&gt;Paramètres!$B$9),0,MAX(0,SUMIF($B$8:$B$247,Personnes!$A15,$AW$8:$AW$247)-'Planning par personne'!O15))</f>
        <v>0</v>
      </c>
      <c r="CM15" t="n">
        <f>IF(OR(Personnes!$A15="",1&gt;Paramètres!$B$9),0,MAX(0,SUMIF($B$8:$B$247,Personnes!$A15,$AX$8:$AX$247)-'Planning par personne'!C15))</f>
        <v>0</v>
      </c>
      <c r="CN15" t="n">
        <f>IF(OR(Personnes!$A15="",2&gt;Paramètres!$B$9),0,MAX(0,SUMIF($B$8:$B$247,Personnes!$A15,$AY$8:$AY$247)-'Planning par personne'!D15))</f>
        <v>0</v>
      </c>
      <c r="CO15" t="n">
        <f>IF(OR(Personnes!$A15="",3&gt;Paramètres!$B$9),0,MAX(0,SUMIF($B$8:$B$247,Personnes!$A15,$AZ$8:$AZ$247)-'Planning par personne'!E15))</f>
        <v>0</v>
      </c>
      <c r="CP15" t="n">
        <f>IF(OR(Personnes!$A15="",4&gt;Paramètres!$B$9),0,MAX(0,SUMIF($B$8:$B$247,Personnes!$A15,$BA$8:$BA$247)-'Planning par personne'!F15))</f>
        <v>0</v>
      </c>
      <c r="CQ15" t="n">
        <f>IF(OR(Personnes!$A15="",5&gt;Paramètres!$B$9),0,MAX(0,SUMIF($B$8:$B$247,Personnes!$A15,$BB$8:$BB$247)-'Planning par personne'!G15))</f>
        <v>0</v>
      </c>
      <c r="CR15" t="n">
        <f>IF(OR(Personnes!$A15="",6&gt;Paramètres!$B$9),0,MAX(0,SUMIF($B$8:$B$247,Personnes!$A15,$BC$8:$BC$247)-'Planning par personne'!H15))</f>
        <v>0</v>
      </c>
      <c r="CS15" t="n">
        <f>IF(OR(Personnes!$A15="",7&gt;Paramètres!$B$9),0,MAX(0,SUMIF($B$8:$B$247,Personnes!$A15,$BD$8:$BD$247)-'Planning par personne'!I15))</f>
        <v>0</v>
      </c>
      <c r="CT15" t="n">
        <f>IF(OR(Personnes!$A15="",8&gt;Paramètres!$B$9),0,MAX(0,SUMIF($B$8:$B$247,Personnes!$A15,$BE$8:$BE$247)-'Planning par personne'!J15))</f>
        <v>0</v>
      </c>
      <c r="CU15" t="n">
        <f>IF(OR(Personnes!$A15="",9&gt;Paramètres!$B$9),0,MAX(0,SUMIF($B$8:$B$247,Personnes!$A15,$BF$8:$BF$247)-'Planning par personne'!K15))</f>
        <v>0</v>
      </c>
      <c r="CV15" t="n">
        <f>IF(OR(Personnes!$A15="",10&gt;Paramètres!$B$9),0,MAX(0,SUMIF($B$8:$B$247,Personnes!$A15,$BG$8:$BG$247)-'Planning par personne'!L15))</f>
        <v>0</v>
      </c>
      <c r="CW15" t="n">
        <f>IF(OR(Personnes!$A15="",11&gt;Paramètres!$B$9),0,MAX(0,SUMIF($B$8:$B$247,Personnes!$A15,$BH$8:$BH$247)-'Planning par personne'!M15))</f>
        <v>0</v>
      </c>
      <c r="CX15" t="n">
        <f>IF(OR(Personnes!$A15="",12&gt;Paramètres!$B$9),0,MAX(0,SUMIF($B$8:$B$247,Personnes!$A15,$BI$8:$BI$247)-'Planning par personne'!N15))</f>
        <v>0</v>
      </c>
      <c r="CY15" t="n">
        <f>IF(OR(Personnes!$A15="",13&gt;Paramètres!$B$9),0,MAX(0,SUMIF($B$8:$B$247,Personnes!$A15,$BJ$8:$BJ$247)-'Planning par personne'!O15))</f>
        <v>0</v>
      </c>
      <c r="DJ15" t="n">
        <f>SUM(BM15:BY15)</f>
        <v>0</v>
      </c>
      <c r="DK15" t="n">
        <f>SUM(BZ15:CL15)</f>
        <v>0</v>
      </c>
      <c r="DL15" t="n">
        <f>SUM(CM15:CY15)</f>
        <v>0</v>
      </c>
      <c r="DM15" t="str">
        <f>IF(AND(Projets!A15&lt;&gt;"",Projets!G15="Engager"),DM14&amp;IF(DM14="","",", ")&amp;Projets!B15,DM14)</f>
        <v/>
      </c>
      <c r="DN15" t="str">
        <f>IF(AND(Projets!A15&lt;&gt;"",Projets!G15="Reporter"),DN14&amp;IF(DN14="","",", ")&amp;Projets!B15,DN14)</f>
        <v/>
      </c>
    </row>
    <row r="16">
      <c r="A16" t="n">
        <f>Charges!A16</f>
        <v>0</v>
      </c>
      <c r="B16" t="n">
        <f>Charges!C16</f>
        <v>0</v>
      </c>
      <c r="C16" t="str">
        <f>Charges!D16</f>
        <v/>
      </c>
      <c r="E16" t="n">
        <f>IF(1&lt;=Paramètres!$B$9,MAX(0,IFERROR(N(IF(ISNUMBER(Charges!F16),MAX(0,Charges!F16),IFERROR(VLOOKUP(Charges!F16,Paramètres!$A$15:$B$18,2,FALSE),0))),0)),0)</f>
        <v>0</v>
      </c>
      <c r="F16" t="n">
        <f>IF(2&lt;=Paramètres!$B$9,MAX(0,IFERROR(N(IF(ISNUMBER(Charges!G16),MAX(0,Charges!G16),IFERROR(VLOOKUP(Charges!G16,Paramètres!$A$15:$B$18,2,FALSE),0))),0)),0)</f>
        <v>0</v>
      </c>
      <c r="G16" t="n">
        <f>IF(3&lt;=Paramètres!$B$9,MAX(0,IFERROR(N(IF(ISNUMBER(Charges!H16),MAX(0,Charges!H16),IFERROR(VLOOKUP(Charges!H16,Paramètres!$A$15:$B$18,2,FALSE),0))),0)),0)</f>
        <v>0</v>
      </c>
      <c r="H16" t="n">
        <f>IF(4&lt;=Paramètres!$B$9,MAX(0,IFERROR(N(IF(ISNUMBER(Charges!I16),MAX(0,Charges!I16),IFERROR(VLOOKUP(Charges!I16,Paramètres!$A$15:$B$18,2,FALSE),0))),0)),0)</f>
        <v>0</v>
      </c>
      <c r="I16" t="n">
        <f>IF(5&lt;=Paramètres!$B$9,MAX(0,IFERROR(N(IF(ISNUMBER(Charges!J16),MAX(0,Charges!J16),IFERROR(VLOOKUP(Charges!J16,Paramètres!$A$15:$B$18,2,FALSE),0))),0)),0)</f>
        <v>0</v>
      </c>
      <c r="J16" t="n">
        <f>IF(6&lt;=Paramètres!$B$9,MAX(0,IFERROR(N(IF(ISNUMBER(Charges!K16),MAX(0,Charges!K16),IFERROR(VLOOKUP(Charges!K16,Paramètres!$A$15:$B$18,2,FALSE),0))),0)),0)</f>
        <v>0</v>
      </c>
      <c r="K16" t="n">
        <f>IF(7&lt;=Paramètres!$B$9,MAX(0,IFERROR(N(IF(ISNUMBER(Charges!L16),MAX(0,Charges!L16),IFERROR(VLOOKUP(Charges!L16,Paramètres!$A$15:$B$18,2,FALSE),0))),0)),0)</f>
        <v>0</v>
      </c>
      <c r="L16" t="n">
        <f>IF(8&lt;=Paramètres!$B$9,MAX(0,IFERROR(N(IF(ISNUMBER(Charges!M16),MAX(0,Charges!M16),IFERROR(VLOOKUP(Charges!M16,Paramètres!$A$15:$B$18,2,FALSE),0))),0)),0)</f>
        <v>0</v>
      </c>
      <c r="M16" t="n">
        <f>IF(9&lt;=Paramètres!$B$9,MAX(0,IFERROR(N(IF(ISNUMBER(Charges!N16),MAX(0,Charges!N16),IFERROR(VLOOKUP(Charges!N16,Paramètres!$A$15:$B$18,2,FALSE),0))),0)),0)</f>
        <v>0</v>
      </c>
      <c r="N16" t="n">
        <f>IF(10&lt;=Paramètres!$B$9,MAX(0,IFERROR(N(IF(ISNUMBER(Charges!O16),MAX(0,Charges!O16),IFERROR(VLOOKUP(Charges!O16,Paramètres!$A$15:$B$18,2,FALSE),0))),0)),0)</f>
        <v>0</v>
      </c>
      <c r="O16" t="n">
        <f>IF(11&lt;=Paramètres!$B$9,MAX(0,IFERROR(N(IF(ISNUMBER(Charges!P16),MAX(0,Charges!P16),IFERROR(VLOOKUP(Charges!P16,Paramètres!$A$15:$B$18,2,FALSE),0))),0)),0)</f>
        <v>0</v>
      </c>
      <c r="P16" t="n">
        <f>IF(12&lt;=Paramètres!$B$9,MAX(0,IFERROR(N(IF(ISNUMBER(Charges!Q16),MAX(0,Charges!Q16),IFERROR(VLOOKUP(Charges!Q16,Paramètres!$A$15:$B$18,2,FALSE),0))),0)),0)</f>
        <v>0</v>
      </c>
      <c r="Q16" t="n">
        <f>IF(13&lt;=Paramètres!$B$9,MAX(0,IFERROR(N(IF(ISNUMBER(Charges!R16),MAX(0,Charges!R16),IFERROR(VLOOKUP(Charges!R16,Paramètres!$A$15:$B$18,2,FALSE),0))),0)),0)</f>
        <v>0</v>
      </c>
      <c r="R16" t="n">
        <f>SUM(E16:Q16)</f>
        <v>0</v>
      </c>
      <c r="S16" t="n">
        <f>IF(IFERROR(VLOOKUP(A16,'Projets'!$A$8:$Z$67,7,FALSE),"")="Engager",1,0)</f>
        <v>0</v>
      </c>
      <c r="T16" t="n">
        <f>IF(OR(Charges!F16="",AND(ISNUMBER(Charges!F16),Charges!F16&gt;=0),Charges!F16="S",Charges!F16="M",Charges!F16="L",Charges!F16="XL"),0,1)+IF(OR(Charges!G16="",AND(ISNUMBER(Charges!G16),Charges!G16&gt;=0),Charges!G16="S",Charges!G16="M",Charges!G16="L",Charges!G16="XL"),0,1)+IF(OR(Charges!H16="",AND(ISNUMBER(Charges!H16),Charges!H16&gt;=0),Charges!H16="S",Charges!H16="M",Charges!H16="L",Charges!H16="XL"),0,1)+IF(OR(Charges!I16="",AND(ISNUMBER(Charges!I16),Charges!I16&gt;=0),Charges!I16="S",Charges!I16="M",Charges!I16="L",Charges!I16="XL"),0,1)+IF(OR(Charges!J16="",AND(ISNUMBER(Charges!J16),Charges!J16&gt;=0),Charges!J16="S",Charges!J16="M",Charges!J16="L",Charges!J16="XL"),0,1)+IF(OR(Charges!K16="",AND(ISNUMBER(Charges!K16),Charges!K16&gt;=0),Charges!K16="S",Charges!K16="M",Charges!K16="L",Charges!K16="XL"),0,1)+IF(OR(Charges!L16="",AND(ISNUMBER(Charges!L16),Charges!L16&gt;=0),Charges!L16="S",Charges!L16="M",Charges!L16="L",Charges!L16="XL"),0,1)+IF(OR(Charges!M16="",AND(ISNUMBER(Charges!M16),Charges!M16&gt;=0),Charges!M16="S",Charges!M16="M",Charges!M16="L",Charges!M16="XL"),0,1)+IF(OR(Charges!N16="",AND(ISNUMBER(Charges!N16),Charges!N16&gt;=0),Charges!N16="S",Charges!N16="M",Charges!N16="L",Charges!N16="XL"),0,1)+IF(OR(Charges!O16="",AND(ISNUMBER(Charges!O16),Charges!O16&gt;=0),Charges!O16="S",Charges!O16="M",Charges!O16="L",Charges!O16="XL"),0,1)+IF(OR(Charges!P16="",AND(ISNUMBER(Charges!P16),Charges!P16&gt;=0),Charges!P16="S",Charges!P16="M",Charges!P16="L",Charges!P16="XL"),0,1)+IF(OR(Charges!Q16="",AND(ISNUMBER(Charges!Q16),Charges!Q16&gt;=0),Charges!Q16="S",Charges!Q16="M",Charges!Q16="L",Charges!Q16="XL"),0,1)+IF(OR(Charges!R16="",AND(ISNUMBER(Charges!R16),Charges!R16&gt;=0),Charges!R16="S",Charges!R16="M",Charges!R16="L",Charges!R16="XL"),0,1)</f>
        <v>0</v>
      </c>
      <c r="U16" t="n">
        <f>IF(AND(1&gt;Paramètres!$B$9,Charges!F16&lt;&gt;"",Charges!F16&lt;&gt;0),1,0)+IF(AND(2&gt;Paramètres!$B$9,Charges!G16&lt;&gt;"",Charges!G16&lt;&gt;0),1,0)+IF(AND(3&gt;Paramètres!$B$9,Charges!H16&lt;&gt;"",Charges!H16&lt;&gt;0),1,0)+IF(AND(4&gt;Paramètres!$B$9,Charges!I16&lt;&gt;"",Charges!I16&lt;&gt;0),1,0)+IF(AND(5&gt;Paramètres!$B$9,Charges!J16&lt;&gt;"",Charges!J16&lt;&gt;0),1,0)+IF(AND(6&gt;Paramètres!$B$9,Charges!K16&lt;&gt;"",Charges!K16&lt;&gt;0),1,0)+IF(AND(7&gt;Paramètres!$B$9,Charges!L16&lt;&gt;"",Charges!L16&lt;&gt;0),1,0)+IF(AND(8&gt;Paramètres!$B$9,Charges!M16&lt;&gt;"",Charges!M16&lt;&gt;0),1,0)+IF(AND(9&gt;Paramètres!$B$9,Charges!N16&lt;&gt;"",Charges!N16&lt;&gt;0),1,0)+IF(AND(10&gt;Paramètres!$B$9,Charges!O16&lt;&gt;"",Charges!O16&lt;&gt;0),1,0)+IF(AND(11&gt;Paramètres!$B$9,Charges!P16&lt;&gt;"",Charges!P16&lt;&gt;0),1,0)+IF(AND(12&gt;Paramètres!$B$9,Charges!Q16&lt;&gt;"",Charges!Q16&lt;&gt;0),1,0)+IF(AND(13&gt;Paramètres!$B$9,Charges!R16&lt;&gt;"",Charges!R16&lt;&gt;0),1,0)</f>
        <v>0</v>
      </c>
      <c r="V16" t="n">
        <f>IF(IFERROR(VLOOKUP(A16,'Projets'!$A$8:$Z$67,5,FALSE),"")="Engager",1,0)</f>
        <v>0</v>
      </c>
      <c r="W16" t="n">
        <f>IF(IFERROR(VLOOKUP(A16,'Projets'!$A$8:$Z$67,6,FALSE),"")="Engager",1,0)</f>
        <v>0</v>
      </c>
      <c r="X16" t="n">
        <f>E16*S16</f>
        <v>0</v>
      </c>
      <c r="Y16" t="n">
        <f>F16*S16</f>
        <v>0</v>
      </c>
      <c r="Z16" t="n">
        <f>G16*S16</f>
        <v>0</v>
      </c>
      <c r="AA16" t="n">
        <f>H16*S16</f>
        <v>0</v>
      </c>
      <c r="AB16" t="n">
        <f>I16*S16</f>
        <v>0</v>
      </c>
      <c r="AC16" t="n">
        <f>J16*S16</f>
        <v>0</v>
      </c>
      <c r="AD16" t="n">
        <f>K16*S16</f>
        <v>0</v>
      </c>
      <c r="AE16" t="n">
        <f>L16*S16</f>
        <v>0</v>
      </c>
      <c r="AF16" t="n">
        <f>M16*S16</f>
        <v>0</v>
      </c>
      <c r="AG16" t="n">
        <f>N16*S16</f>
        <v>0</v>
      </c>
      <c r="AH16" t="n">
        <f>O16*S16</f>
        <v>0</v>
      </c>
      <c r="AI16" t="n">
        <f>P16*S16</f>
        <v>0</v>
      </c>
      <c r="AJ16" t="n">
        <f>Q16*S16</f>
        <v>0</v>
      </c>
      <c r="AK16" t="n">
        <f>E16*V16</f>
        <v>0</v>
      </c>
      <c r="AL16" t="n">
        <f>F16*V16</f>
        <v>0</v>
      </c>
      <c r="AM16" t="n">
        <f>G16*V16</f>
        <v>0</v>
      </c>
      <c r="AN16" t="n">
        <f>H16*V16</f>
        <v>0</v>
      </c>
      <c r="AO16" t="n">
        <f>I16*V16</f>
        <v>0</v>
      </c>
      <c r="AP16" t="n">
        <f>J16*V16</f>
        <v>0</v>
      </c>
      <c r="AQ16" t="n">
        <f>K16*V16</f>
        <v>0</v>
      </c>
      <c r="AR16" t="n">
        <f>L16*V16</f>
        <v>0</v>
      </c>
      <c r="AS16" t="n">
        <f>M16*V16</f>
        <v>0</v>
      </c>
      <c r="AT16" t="n">
        <f>N16*V16</f>
        <v>0</v>
      </c>
      <c r="AU16" t="n">
        <f>O16*V16</f>
        <v>0</v>
      </c>
      <c r="AV16" t="n">
        <f>P16*V16</f>
        <v>0</v>
      </c>
      <c r="AW16" t="n">
        <f>Q16*V16</f>
        <v>0</v>
      </c>
      <c r="AX16" t="n">
        <f>E16*W16</f>
        <v>0</v>
      </c>
      <c r="AY16" t="n">
        <f>F16*W16</f>
        <v>0</v>
      </c>
      <c r="AZ16" t="n">
        <f>G16*W16</f>
        <v>0</v>
      </c>
      <c r="BA16" t="n">
        <f>H16*W16</f>
        <v>0</v>
      </c>
      <c r="BB16" t="n">
        <f>I16*W16</f>
        <v>0</v>
      </c>
      <c r="BC16" t="n">
        <f>J16*W16</f>
        <v>0</v>
      </c>
      <c r="BD16" t="n">
        <f>K16*W16</f>
        <v>0</v>
      </c>
      <c r="BE16" t="n">
        <f>L16*W16</f>
        <v>0</v>
      </c>
      <c r="BF16" t="n">
        <f>M16*W16</f>
        <v>0</v>
      </c>
      <c r="BG16" t="n">
        <f>N16*W16</f>
        <v>0</v>
      </c>
      <c r="BH16" t="n">
        <f>O16*W16</f>
        <v>0</v>
      </c>
      <c r="BI16" t="n">
        <f>P16*W16</f>
        <v>0</v>
      </c>
      <c r="BJ16" t="n">
        <f>Q16*W16</f>
        <v>0</v>
      </c>
      <c r="BM16" t="n">
        <f>IF(OR(Personnes!$A16="",1&gt;Paramètres!$B$9),0,MAX(0,SUMIF($B$8:$B$247,Personnes!$A16,$E$8:$E$247)-'Planning par personne'!C16))</f>
        <v>0</v>
      </c>
      <c r="BN16" t="n">
        <f>IF(OR(Personnes!$A16="",2&gt;Paramètres!$B$9),0,MAX(0,SUMIF($B$8:$B$247,Personnes!$A16,$F$8:$F$247)-'Planning par personne'!D16))</f>
        <v>0</v>
      </c>
      <c r="BO16" t="n">
        <f>IF(OR(Personnes!$A16="",3&gt;Paramètres!$B$9),0,MAX(0,SUMIF($B$8:$B$247,Personnes!$A16,$G$8:$G$247)-'Planning par personne'!E16))</f>
        <v>0</v>
      </c>
      <c r="BP16" t="n">
        <f>IF(OR(Personnes!$A16="",4&gt;Paramètres!$B$9),0,MAX(0,SUMIF($B$8:$B$247,Personnes!$A16,$H$8:$H$247)-'Planning par personne'!F16))</f>
        <v>0</v>
      </c>
      <c r="BQ16" t="n">
        <f>IF(OR(Personnes!$A16="",5&gt;Paramètres!$B$9),0,MAX(0,SUMIF($B$8:$B$247,Personnes!$A16,$I$8:$I$247)-'Planning par personne'!G16))</f>
        <v>0</v>
      </c>
      <c r="BR16" t="n">
        <f>IF(OR(Personnes!$A16="",6&gt;Paramètres!$B$9),0,MAX(0,SUMIF($B$8:$B$247,Personnes!$A16,$J$8:$J$247)-'Planning par personne'!H16))</f>
        <v>0</v>
      </c>
      <c r="BS16" t="n">
        <f>IF(OR(Personnes!$A16="",7&gt;Paramètres!$B$9),0,MAX(0,SUMIF($B$8:$B$247,Personnes!$A16,$K$8:$K$247)-'Planning par personne'!I16))</f>
        <v>0</v>
      </c>
      <c r="BT16" t="n">
        <f>IF(OR(Personnes!$A16="",8&gt;Paramètres!$B$9),0,MAX(0,SUMIF($B$8:$B$247,Personnes!$A16,$L$8:$L$247)-'Planning par personne'!J16))</f>
        <v>0</v>
      </c>
      <c r="BU16" t="n">
        <f>IF(OR(Personnes!$A16="",9&gt;Paramètres!$B$9),0,MAX(0,SUMIF($B$8:$B$247,Personnes!$A16,$M$8:$M$247)-'Planning par personne'!K16))</f>
        <v>0</v>
      </c>
      <c r="BV16" t="n">
        <f>IF(OR(Personnes!$A16="",10&gt;Paramètres!$B$9),0,MAX(0,SUMIF($B$8:$B$247,Personnes!$A16,$N$8:$N$247)-'Planning par personne'!L16))</f>
        <v>0</v>
      </c>
      <c r="BW16" t="n">
        <f>IF(OR(Personnes!$A16="",11&gt;Paramètres!$B$9),0,MAX(0,SUMIF($B$8:$B$247,Personnes!$A16,$O$8:$O$247)-'Planning par personne'!M16))</f>
        <v>0</v>
      </c>
      <c r="BX16" t="n">
        <f>IF(OR(Personnes!$A16="",12&gt;Paramètres!$B$9),0,MAX(0,SUMIF($B$8:$B$247,Personnes!$A16,$P$8:$P$247)-'Planning par personne'!N16))</f>
        <v>0</v>
      </c>
      <c r="BY16" t="n">
        <f>IF(OR(Personnes!$A16="",13&gt;Paramètres!$B$9),0,MAX(0,SUMIF($B$8:$B$247,Personnes!$A16,$Q$8:$Q$247)-'Planning par personne'!O16))</f>
        <v>0</v>
      </c>
      <c r="BZ16" t="n">
        <f>IF(OR(Personnes!$A16="",1&gt;Paramètres!$B$9),0,MAX(0,SUMIF($B$8:$B$247,Personnes!$A16,$AK$8:$AK$247)-'Planning par personne'!C16))</f>
        <v>0</v>
      </c>
      <c r="CA16" t="n">
        <f>IF(OR(Personnes!$A16="",2&gt;Paramètres!$B$9),0,MAX(0,SUMIF($B$8:$B$247,Personnes!$A16,$AL$8:$AL$247)-'Planning par personne'!D16))</f>
        <v>0</v>
      </c>
      <c r="CB16" t="n">
        <f>IF(OR(Personnes!$A16="",3&gt;Paramètres!$B$9),0,MAX(0,SUMIF($B$8:$B$247,Personnes!$A16,$AM$8:$AM$247)-'Planning par personne'!E16))</f>
        <v>0</v>
      </c>
      <c r="CC16" t="n">
        <f>IF(OR(Personnes!$A16="",4&gt;Paramètres!$B$9),0,MAX(0,SUMIF($B$8:$B$247,Personnes!$A16,$AN$8:$AN$247)-'Planning par personne'!F16))</f>
        <v>0</v>
      </c>
      <c r="CD16" t="n">
        <f>IF(OR(Personnes!$A16="",5&gt;Paramètres!$B$9),0,MAX(0,SUMIF($B$8:$B$247,Personnes!$A16,$AO$8:$AO$247)-'Planning par personne'!G16))</f>
        <v>0</v>
      </c>
      <c r="CE16" t="n">
        <f>IF(OR(Personnes!$A16="",6&gt;Paramètres!$B$9),0,MAX(0,SUMIF($B$8:$B$247,Personnes!$A16,$AP$8:$AP$247)-'Planning par personne'!H16))</f>
        <v>0</v>
      </c>
      <c r="CF16" t="n">
        <f>IF(OR(Personnes!$A16="",7&gt;Paramètres!$B$9),0,MAX(0,SUMIF($B$8:$B$247,Personnes!$A16,$AQ$8:$AQ$247)-'Planning par personne'!I16))</f>
        <v>0</v>
      </c>
      <c r="CG16" t="n">
        <f>IF(OR(Personnes!$A16="",8&gt;Paramètres!$B$9),0,MAX(0,SUMIF($B$8:$B$247,Personnes!$A16,$AR$8:$AR$247)-'Planning par personne'!J16))</f>
        <v>0</v>
      </c>
      <c r="CH16" t="n">
        <f>IF(OR(Personnes!$A16="",9&gt;Paramètres!$B$9),0,MAX(0,SUMIF($B$8:$B$247,Personnes!$A16,$AS$8:$AS$247)-'Planning par personne'!K16))</f>
        <v>0</v>
      </c>
      <c r="CI16" t="n">
        <f>IF(OR(Personnes!$A16="",10&gt;Paramètres!$B$9),0,MAX(0,SUMIF($B$8:$B$247,Personnes!$A16,$AT$8:$AT$247)-'Planning par personne'!L16))</f>
        <v>0</v>
      </c>
      <c r="CJ16" t="n">
        <f>IF(OR(Personnes!$A16="",11&gt;Paramètres!$B$9),0,MAX(0,SUMIF($B$8:$B$247,Personnes!$A16,$AU$8:$AU$247)-'Planning par personne'!M16))</f>
        <v>0</v>
      </c>
      <c r="CK16" t="n">
        <f>IF(OR(Personnes!$A16="",12&gt;Paramètres!$B$9),0,MAX(0,SUMIF($B$8:$B$247,Personnes!$A16,$AV$8:$AV$247)-'Planning par personne'!N16))</f>
        <v>0</v>
      </c>
      <c r="CL16" t="n">
        <f>IF(OR(Personnes!$A16="",13&gt;Paramètres!$B$9),0,MAX(0,SUMIF($B$8:$B$247,Personnes!$A16,$AW$8:$AW$247)-'Planning par personne'!O16))</f>
        <v>0</v>
      </c>
      <c r="CM16" t="n">
        <f>IF(OR(Personnes!$A16="",1&gt;Paramètres!$B$9),0,MAX(0,SUMIF($B$8:$B$247,Personnes!$A16,$AX$8:$AX$247)-'Planning par personne'!C16))</f>
        <v>0</v>
      </c>
      <c r="CN16" t="n">
        <f>IF(OR(Personnes!$A16="",2&gt;Paramètres!$B$9),0,MAX(0,SUMIF($B$8:$B$247,Personnes!$A16,$AY$8:$AY$247)-'Planning par personne'!D16))</f>
        <v>0</v>
      </c>
      <c r="CO16" t="n">
        <f>IF(OR(Personnes!$A16="",3&gt;Paramètres!$B$9),0,MAX(0,SUMIF($B$8:$B$247,Personnes!$A16,$AZ$8:$AZ$247)-'Planning par personne'!E16))</f>
        <v>0</v>
      </c>
      <c r="CP16" t="n">
        <f>IF(OR(Personnes!$A16="",4&gt;Paramètres!$B$9),0,MAX(0,SUMIF($B$8:$B$247,Personnes!$A16,$BA$8:$BA$247)-'Planning par personne'!F16))</f>
        <v>0</v>
      </c>
      <c r="CQ16" t="n">
        <f>IF(OR(Personnes!$A16="",5&gt;Paramètres!$B$9),0,MAX(0,SUMIF($B$8:$B$247,Personnes!$A16,$BB$8:$BB$247)-'Planning par personne'!G16))</f>
        <v>0</v>
      </c>
      <c r="CR16" t="n">
        <f>IF(OR(Personnes!$A16="",6&gt;Paramètres!$B$9),0,MAX(0,SUMIF($B$8:$B$247,Personnes!$A16,$BC$8:$BC$247)-'Planning par personne'!H16))</f>
        <v>0</v>
      </c>
      <c r="CS16" t="n">
        <f>IF(OR(Personnes!$A16="",7&gt;Paramètres!$B$9),0,MAX(0,SUMIF($B$8:$B$247,Personnes!$A16,$BD$8:$BD$247)-'Planning par personne'!I16))</f>
        <v>0</v>
      </c>
      <c r="CT16" t="n">
        <f>IF(OR(Personnes!$A16="",8&gt;Paramètres!$B$9),0,MAX(0,SUMIF($B$8:$B$247,Personnes!$A16,$BE$8:$BE$247)-'Planning par personne'!J16))</f>
        <v>0</v>
      </c>
      <c r="CU16" t="n">
        <f>IF(OR(Personnes!$A16="",9&gt;Paramètres!$B$9),0,MAX(0,SUMIF($B$8:$B$247,Personnes!$A16,$BF$8:$BF$247)-'Planning par personne'!K16))</f>
        <v>0</v>
      </c>
      <c r="CV16" t="n">
        <f>IF(OR(Personnes!$A16="",10&gt;Paramètres!$B$9),0,MAX(0,SUMIF($B$8:$B$247,Personnes!$A16,$BG$8:$BG$247)-'Planning par personne'!L16))</f>
        <v>0</v>
      </c>
      <c r="CW16" t="n">
        <f>IF(OR(Personnes!$A16="",11&gt;Paramètres!$B$9),0,MAX(0,SUMIF($B$8:$B$247,Personnes!$A16,$BH$8:$BH$247)-'Planning par personne'!M16))</f>
        <v>0</v>
      </c>
      <c r="CX16" t="n">
        <f>IF(OR(Personnes!$A16="",12&gt;Paramètres!$B$9),0,MAX(0,SUMIF($B$8:$B$247,Personnes!$A16,$BI$8:$BI$247)-'Planning par personne'!N16))</f>
        <v>0</v>
      </c>
      <c r="CY16" t="n">
        <f>IF(OR(Personnes!$A16="",13&gt;Paramètres!$B$9),0,MAX(0,SUMIF($B$8:$B$247,Personnes!$A16,$BJ$8:$BJ$247)-'Planning par personne'!O16))</f>
        <v>0</v>
      </c>
      <c r="DJ16" t="n">
        <f>SUM(BM16:BY16)</f>
        <v>0</v>
      </c>
      <c r="DK16" t="n">
        <f>SUM(BZ16:CL16)</f>
        <v>0</v>
      </c>
      <c r="DL16" t="n">
        <f>SUM(CM16:CY16)</f>
        <v>0</v>
      </c>
      <c r="DM16" t="str">
        <f>IF(AND(Projets!A16&lt;&gt;"",Projets!G16="Engager"),DM15&amp;IF(DM15="","",", ")&amp;Projets!B16,DM15)</f>
        <v/>
      </c>
      <c r="DN16" t="str">
        <f>IF(AND(Projets!A16&lt;&gt;"",Projets!G16="Reporter"),DN15&amp;IF(DN15="","",", ")&amp;Projets!B16,DN15)</f>
        <v/>
      </c>
    </row>
    <row r="17">
      <c r="A17" t="n">
        <f>Charges!A17</f>
        <v>0</v>
      </c>
      <c r="B17" t="n">
        <f>Charges!C17</f>
        <v>0</v>
      </c>
      <c r="C17" t="str">
        <f>Charges!D17</f>
        <v/>
      </c>
      <c r="E17" t="n">
        <f>IF(1&lt;=Paramètres!$B$9,MAX(0,IFERROR(N(IF(ISNUMBER(Charges!F17),MAX(0,Charges!F17),IFERROR(VLOOKUP(Charges!F17,Paramètres!$A$15:$B$18,2,FALSE),0))),0)),0)</f>
        <v>0</v>
      </c>
      <c r="F17" t="n">
        <f>IF(2&lt;=Paramètres!$B$9,MAX(0,IFERROR(N(IF(ISNUMBER(Charges!G17),MAX(0,Charges!G17),IFERROR(VLOOKUP(Charges!G17,Paramètres!$A$15:$B$18,2,FALSE),0))),0)),0)</f>
        <v>0</v>
      </c>
      <c r="G17" t="n">
        <f>IF(3&lt;=Paramètres!$B$9,MAX(0,IFERROR(N(IF(ISNUMBER(Charges!H17),MAX(0,Charges!H17),IFERROR(VLOOKUP(Charges!H17,Paramètres!$A$15:$B$18,2,FALSE),0))),0)),0)</f>
        <v>0</v>
      </c>
      <c r="H17" t="n">
        <f>IF(4&lt;=Paramètres!$B$9,MAX(0,IFERROR(N(IF(ISNUMBER(Charges!I17),MAX(0,Charges!I17),IFERROR(VLOOKUP(Charges!I17,Paramètres!$A$15:$B$18,2,FALSE),0))),0)),0)</f>
        <v>0</v>
      </c>
      <c r="I17" t="n">
        <f>IF(5&lt;=Paramètres!$B$9,MAX(0,IFERROR(N(IF(ISNUMBER(Charges!J17),MAX(0,Charges!J17),IFERROR(VLOOKUP(Charges!J17,Paramètres!$A$15:$B$18,2,FALSE),0))),0)),0)</f>
        <v>0</v>
      </c>
      <c r="J17" t="n">
        <f>IF(6&lt;=Paramètres!$B$9,MAX(0,IFERROR(N(IF(ISNUMBER(Charges!K17),MAX(0,Charges!K17),IFERROR(VLOOKUP(Charges!K17,Paramètres!$A$15:$B$18,2,FALSE),0))),0)),0)</f>
        <v>0</v>
      </c>
      <c r="K17" t="n">
        <f>IF(7&lt;=Paramètres!$B$9,MAX(0,IFERROR(N(IF(ISNUMBER(Charges!L17),MAX(0,Charges!L17),IFERROR(VLOOKUP(Charges!L17,Paramètres!$A$15:$B$18,2,FALSE),0))),0)),0)</f>
        <v>0</v>
      </c>
      <c r="L17" t="n">
        <f>IF(8&lt;=Paramètres!$B$9,MAX(0,IFERROR(N(IF(ISNUMBER(Charges!M17),MAX(0,Charges!M17),IFERROR(VLOOKUP(Charges!M17,Paramètres!$A$15:$B$18,2,FALSE),0))),0)),0)</f>
        <v>0</v>
      </c>
      <c r="M17" t="n">
        <f>IF(9&lt;=Paramètres!$B$9,MAX(0,IFERROR(N(IF(ISNUMBER(Charges!N17),MAX(0,Charges!N17),IFERROR(VLOOKUP(Charges!N17,Paramètres!$A$15:$B$18,2,FALSE),0))),0)),0)</f>
        <v>0</v>
      </c>
      <c r="N17" t="n">
        <f>IF(10&lt;=Paramètres!$B$9,MAX(0,IFERROR(N(IF(ISNUMBER(Charges!O17),MAX(0,Charges!O17),IFERROR(VLOOKUP(Charges!O17,Paramètres!$A$15:$B$18,2,FALSE),0))),0)),0)</f>
        <v>0</v>
      </c>
      <c r="O17" t="n">
        <f>IF(11&lt;=Paramètres!$B$9,MAX(0,IFERROR(N(IF(ISNUMBER(Charges!P17),MAX(0,Charges!P17),IFERROR(VLOOKUP(Charges!P17,Paramètres!$A$15:$B$18,2,FALSE),0))),0)),0)</f>
        <v>0</v>
      </c>
      <c r="P17" t="n">
        <f>IF(12&lt;=Paramètres!$B$9,MAX(0,IFERROR(N(IF(ISNUMBER(Charges!Q17),MAX(0,Charges!Q17),IFERROR(VLOOKUP(Charges!Q17,Paramètres!$A$15:$B$18,2,FALSE),0))),0)),0)</f>
        <v>0</v>
      </c>
      <c r="Q17" t="n">
        <f>IF(13&lt;=Paramètres!$B$9,MAX(0,IFERROR(N(IF(ISNUMBER(Charges!R17),MAX(0,Charges!R17),IFERROR(VLOOKUP(Charges!R17,Paramètres!$A$15:$B$18,2,FALSE),0))),0)),0)</f>
        <v>0</v>
      </c>
      <c r="R17" t="n">
        <f>SUM(E17:Q17)</f>
        <v>0</v>
      </c>
      <c r="S17" t="n">
        <f>IF(IFERROR(VLOOKUP(A17,'Projets'!$A$8:$Z$67,7,FALSE),"")="Engager",1,0)</f>
        <v>0</v>
      </c>
      <c r="T17" t="n">
        <f>IF(OR(Charges!F17="",AND(ISNUMBER(Charges!F17),Charges!F17&gt;=0),Charges!F17="S",Charges!F17="M",Charges!F17="L",Charges!F17="XL"),0,1)+IF(OR(Charges!G17="",AND(ISNUMBER(Charges!G17),Charges!G17&gt;=0),Charges!G17="S",Charges!G17="M",Charges!G17="L",Charges!G17="XL"),0,1)+IF(OR(Charges!H17="",AND(ISNUMBER(Charges!H17),Charges!H17&gt;=0),Charges!H17="S",Charges!H17="M",Charges!H17="L",Charges!H17="XL"),0,1)+IF(OR(Charges!I17="",AND(ISNUMBER(Charges!I17),Charges!I17&gt;=0),Charges!I17="S",Charges!I17="M",Charges!I17="L",Charges!I17="XL"),0,1)+IF(OR(Charges!J17="",AND(ISNUMBER(Charges!J17),Charges!J17&gt;=0),Charges!J17="S",Charges!J17="M",Charges!J17="L",Charges!J17="XL"),0,1)+IF(OR(Charges!K17="",AND(ISNUMBER(Charges!K17),Charges!K17&gt;=0),Charges!K17="S",Charges!K17="M",Charges!K17="L",Charges!K17="XL"),0,1)+IF(OR(Charges!L17="",AND(ISNUMBER(Charges!L17),Charges!L17&gt;=0),Charges!L17="S",Charges!L17="M",Charges!L17="L",Charges!L17="XL"),0,1)+IF(OR(Charges!M17="",AND(ISNUMBER(Charges!M17),Charges!M17&gt;=0),Charges!M17="S",Charges!M17="M",Charges!M17="L",Charges!M17="XL"),0,1)+IF(OR(Charges!N17="",AND(ISNUMBER(Charges!N17),Charges!N17&gt;=0),Charges!N17="S",Charges!N17="M",Charges!N17="L",Charges!N17="XL"),0,1)+IF(OR(Charges!O17="",AND(ISNUMBER(Charges!O17),Charges!O17&gt;=0),Charges!O17="S",Charges!O17="M",Charges!O17="L",Charges!O17="XL"),0,1)+IF(OR(Charges!P17="",AND(ISNUMBER(Charges!P17),Charges!P17&gt;=0),Charges!P17="S",Charges!P17="M",Charges!P17="L",Charges!P17="XL"),0,1)+IF(OR(Charges!Q17="",AND(ISNUMBER(Charges!Q17),Charges!Q17&gt;=0),Charges!Q17="S",Charges!Q17="M",Charges!Q17="L",Charges!Q17="XL"),0,1)+IF(OR(Charges!R17="",AND(ISNUMBER(Charges!R17),Charges!R17&gt;=0),Charges!R17="S",Charges!R17="M",Charges!R17="L",Charges!R17="XL"),0,1)</f>
        <v>0</v>
      </c>
      <c r="U17" t="n">
        <f>IF(AND(1&gt;Paramètres!$B$9,Charges!F17&lt;&gt;"",Charges!F17&lt;&gt;0),1,0)+IF(AND(2&gt;Paramètres!$B$9,Charges!G17&lt;&gt;"",Charges!G17&lt;&gt;0),1,0)+IF(AND(3&gt;Paramètres!$B$9,Charges!H17&lt;&gt;"",Charges!H17&lt;&gt;0),1,0)+IF(AND(4&gt;Paramètres!$B$9,Charges!I17&lt;&gt;"",Charges!I17&lt;&gt;0),1,0)+IF(AND(5&gt;Paramètres!$B$9,Charges!J17&lt;&gt;"",Charges!J17&lt;&gt;0),1,0)+IF(AND(6&gt;Paramètres!$B$9,Charges!K17&lt;&gt;"",Charges!K17&lt;&gt;0),1,0)+IF(AND(7&gt;Paramètres!$B$9,Charges!L17&lt;&gt;"",Charges!L17&lt;&gt;0),1,0)+IF(AND(8&gt;Paramètres!$B$9,Charges!M17&lt;&gt;"",Charges!M17&lt;&gt;0),1,0)+IF(AND(9&gt;Paramètres!$B$9,Charges!N17&lt;&gt;"",Charges!N17&lt;&gt;0),1,0)+IF(AND(10&gt;Paramètres!$B$9,Charges!O17&lt;&gt;"",Charges!O17&lt;&gt;0),1,0)+IF(AND(11&gt;Paramètres!$B$9,Charges!P17&lt;&gt;"",Charges!P17&lt;&gt;0),1,0)+IF(AND(12&gt;Paramètres!$B$9,Charges!Q17&lt;&gt;"",Charges!Q17&lt;&gt;0),1,0)+IF(AND(13&gt;Paramètres!$B$9,Charges!R17&lt;&gt;"",Charges!R17&lt;&gt;0),1,0)</f>
        <v>0</v>
      </c>
      <c r="V17" t="n">
        <f>IF(IFERROR(VLOOKUP(A17,'Projets'!$A$8:$Z$67,5,FALSE),"")="Engager",1,0)</f>
        <v>0</v>
      </c>
      <c r="W17" t="n">
        <f>IF(IFERROR(VLOOKUP(A17,'Projets'!$A$8:$Z$67,6,FALSE),"")="Engager",1,0)</f>
        <v>0</v>
      </c>
      <c r="X17" t="n">
        <f>E17*S17</f>
        <v>0</v>
      </c>
      <c r="Y17" t="n">
        <f>F17*S17</f>
        <v>0</v>
      </c>
      <c r="Z17" t="n">
        <f>G17*S17</f>
        <v>0</v>
      </c>
      <c r="AA17" t="n">
        <f>H17*S17</f>
        <v>0</v>
      </c>
      <c r="AB17" t="n">
        <f>I17*S17</f>
        <v>0</v>
      </c>
      <c r="AC17" t="n">
        <f>J17*S17</f>
        <v>0</v>
      </c>
      <c r="AD17" t="n">
        <f>K17*S17</f>
        <v>0</v>
      </c>
      <c r="AE17" t="n">
        <f>L17*S17</f>
        <v>0</v>
      </c>
      <c r="AF17" t="n">
        <f>M17*S17</f>
        <v>0</v>
      </c>
      <c r="AG17" t="n">
        <f>N17*S17</f>
        <v>0</v>
      </c>
      <c r="AH17" t="n">
        <f>O17*S17</f>
        <v>0</v>
      </c>
      <c r="AI17" t="n">
        <f>P17*S17</f>
        <v>0</v>
      </c>
      <c r="AJ17" t="n">
        <f>Q17*S17</f>
        <v>0</v>
      </c>
      <c r="AK17" t="n">
        <f>E17*V17</f>
        <v>0</v>
      </c>
      <c r="AL17" t="n">
        <f>F17*V17</f>
        <v>0</v>
      </c>
      <c r="AM17" t="n">
        <f>G17*V17</f>
        <v>0</v>
      </c>
      <c r="AN17" t="n">
        <f>H17*V17</f>
        <v>0</v>
      </c>
      <c r="AO17" t="n">
        <f>I17*V17</f>
        <v>0</v>
      </c>
      <c r="AP17" t="n">
        <f>J17*V17</f>
        <v>0</v>
      </c>
      <c r="AQ17" t="n">
        <f>K17*V17</f>
        <v>0</v>
      </c>
      <c r="AR17" t="n">
        <f>L17*V17</f>
        <v>0</v>
      </c>
      <c r="AS17" t="n">
        <f>M17*V17</f>
        <v>0</v>
      </c>
      <c r="AT17" t="n">
        <f>N17*V17</f>
        <v>0</v>
      </c>
      <c r="AU17" t="n">
        <f>O17*V17</f>
        <v>0</v>
      </c>
      <c r="AV17" t="n">
        <f>P17*V17</f>
        <v>0</v>
      </c>
      <c r="AW17" t="n">
        <f>Q17*V17</f>
        <v>0</v>
      </c>
      <c r="AX17" t="n">
        <f>E17*W17</f>
        <v>0</v>
      </c>
      <c r="AY17" t="n">
        <f>F17*W17</f>
        <v>0</v>
      </c>
      <c r="AZ17" t="n">
        <f>G17*W17</f>
        <v>0</v>
      </c>
      <c r="BA17" t="n">
        <f>H17*W17</f>
        <v>0</v>
      </c>
      <c r="BB17" t="n">
        <f>I17*W17</f>
        <v>0</v>
      </c>
      <c r="BC17" t="n">
        <f>J17*W17</f>
        <v>0</v>
      </c>
      <c r="BD17" t="n">
        <f>K17*W17</f>
        <v>0</v>
      </c>
      <c r="BE17" t="n">
        <f>L17*W17</f>
        <v>0</v>
      </c>
      <c r="BF17" t="n">
        <f>M17*W17</f>
        <v>0</v>
      </c>
      <c r="BG17" t="n">
        <f>N17*W17</f>
        <v>0</v>
      </c>
      <c r="BH17" t="n">
        <f>O17*W17</f>
        <v>0</v>
      </c>
      <c r="BI17" t="n">
        <f>P17*W17</f>
        <v>0</v>
      </c>
      <c r="BJ17" t="n">
        <f>Q17*W17</f>
        <v>0</v>
      </c>
      <c r="BM17" t="n">
        <f>IF(OR(Personnes!$A17="",1&gt;Paramètres!$B$9),0,MAX(0,SUMIF($B$8:$B$247,Personnes!$A17,$E$8:$E$247)-'Planning par personne'!C17))</f>
        <v>0</v>
      </c>
      <c r="BN17" t="n">
        <f>IF(OR(Personnes!$A17="",2&gt;Paramètres!$B$9),0,MAX(0,SUMIF($B$8:$B$247,Personnes!$A17,$F$8:$F$247)-'Planning par personne'!D17))</f>
        <v>0</v>
      </c>
      <c r="BO17" t="n">
        <f>IF(OR(Personnes!$A17="",3&gt;Paramètres!$B$9),0,MAX(0,SUMIF($B$8:$B$247,Personnes!$A17,$G$8:$G$247)-'Planning par personne'!E17))</f>
        <v>0</v>
      </c>
      <c r="BP17" t="n">
        <f>IF(OR(Personnes!$A17="",4&gt;Paramètres!$B$9),0,MAX(0,SUMIF($B$8:$B$247,Personnes!$A17,$H$8:$H$247)-'Planning par personne'!F17))</f>
        <v>0</v>
      </c>
      <c r="BQ17" t="n">
        <f>IF(OR(Personnes!$A17="",5&gt;Paramètres!$B$9),0,MAX(0,SUMIF($B$8:$B$247,Personnes!$A17,$I$8:$I$247)-'Planning par personne'!G17))</f>
        <v>0</v>
      </c>
      <c r="BR17" t="n">
        <f>IF(OR(Personnes!$A17="",6&gt;Paramètres!$B$9),0,MAX(0,SUMIF($B$8:$B$247,Personnes!$A17,$J$8:$J$247)-'Planning par personne'!H17))</f>
        <v>0</v>
      </c>
      <c r="BS17" t="n">
        <f>IF(OR(Personnes!$A17="",7&gt;Paramètres!$B$9),0,MAX(0,SUMIF($B$8:$B$247,Personnes!$A17,$K$8:$K$247)-'Planning par personne'!I17))</f>
        <v>0</v>
      </c>
      <c r="BT17" t="n">
        <f>IF(OR(Personnes!$A17="",8&gt;Paramètres!$B$9),0,MAX(0,SUMIF($B$8:$B$247,Personnes!$A17,$L$8:$L$247)-'Planning par personne'!J17))</f>
        <v>0</v>
      </c>
      <c r="BU17" t="n">
        <f>IF(OR(Personnes!$A17="",9&gt;Paramètres!$B$9),0,MAX(0,SUMIF($B$8:$B$247,Personnes!$A17,$M$8:$M$247)-'Planning par personne'!K17))</f>
        <v>0</v>
      </c>
      <c r="BV17" t="n">
        <f>IF(OR(Personnes!$A17="",10&gt;Paramètres!$B$9),0,MAX(0,SUMIF($B$8:$B$247,Personnes!$A17,$N$8:$N$247)-'Planning par personne'!L17))</f>
        <v>0</v>
      </c>
      <c r="BW17" t="n">
        <f>IF(OR(Personnes!$A17="",11&gt;Paramètres!$B$9),0,MAX(0,SUMIF($B$8:$B$247,Personnes!$A17,$O$8:$O$247)-'Planning par personne'!M17))</f>
        <v>0</v>
      </c>
      <c r="BX17" t="n">
        <f>IF(OR(Personnes!$A17="",12&gt;Paramètres!$B$9),0,MAX(0,SUMIF($B$8:$B$247,Personnes!$A17,$P$8:$P$247)-'Planning par personne'!N17))</f>
        <v>0</v>
      </c>
      <c r="BY17" t="n">
        <f>IF(OR(Personnes!$A17="",13&gt;Paramètres!$B$9),0,MAX(0,SUMIF($B$8:$B$247,Personnes!$A17,$Q$8:$Q$247)-'Planning par personne'!O17))</f>
        <v>0</v>
      </c>
      <c r="BZ17" t="n">
        <f>IF(OR(Personnes!$A17="",1&gt;Paramètres!$B$9),0,MAX(0,SUMIF($B$8:$B$247,Personnes!$A17,$AK$8:$AK$247)-'Planning par personne'!C17))</f>
        <v>0</v>
      </c>
      <c r="CA17" t="n">
        <f>IF(OR(Personnes!$A17="",2&gt;Paramètres!$B$9),0,MAX(0,SUMIF($B$8:$B$247,Personnes!$A17,$AL$8:$AL$247)-'Planning par personne'!D17))</f>
        <v>0</v>
      </c>
      <c r="CB17" t="n">
        <f>IF(OR(Personnes!$A17="",3&gt;Paramètres!$B$9),0,MAX(0,SUMIF($B$8:$B$247,Personnes!$A17,$AM$8:$AM$247)-'Planning par personne'!E17))</f>
        <v>0</v>
      </c>
      <c r="CC17" t="n">
        <f>IF(OR(Personnes!$A17="",4&gt;Paramètres!$B$9),0,MAX(0,SUMIF($B$8:$B$247,Personnes!$A17,$AN$8:$AN$247)-'Planning par personne'!F17))</f>
        <v>0</v>
      </c>
      <c r="CD17" t="n">
        <f>IF(OR(Personnes!$A17="",5&gt;Paramètres!$B$9),0,MAX(0,SUMIF($B$8:$B$247,Personnes!$A17,$AO$8:$AO$247)-'Planning par personne'!G17))</f>
        <v>0</v>
      </c>
      <c r="CE17" t="n">
        <f>IF(OR(Personnes!$A17="",6&gt;Paramètres!$B$9),0,MAX(0,SUMIF($B$8:$B$247,Personnes!$A17,$AP$8:$AP$247)-'Planning par personne'!H17))</f>
        <v>0</v>
      </c>
      <c r="CF17" t="n">
        <f>IF(OR(Personnes!$A17="",7&gt;Paramètres!$B$9),0,MAX(0,SUMIF($B$8:$B$247,Personnes!$A17,$AQ$8:$AQ$247)-'Planning par personne'!I17))</f>
        <v>0</v>
      </c>
      <c r="CG17" t="n">
        <f>IF(OR(Personnes!$A17="",8&gt;Paramètres!$B$9),0,MAX(0,SUMIF($B$8:$B$247,Personnes!$A17,$AR$8:$AR$247)-'Planning par personne'!J17))</f>
        <v>0</v>
      </c>
      <c r="CH17" t="n">
        <f>IF(OR(Personnes!$A17="",9&gt;Paramètres!$B$9),0,MAX(0,SUMIF($B$8:$B$247,Personnes!$A17,$AS$8:$AS$247)-'Planning par personne'!K17))</f>
        <v>0</v>
      </c>
      <c r="CI17" t="n">
        <f>IF(OR(Personnes!$A17="",10&gt;Paramètres!$B$9),0,MAX(0,SUMIF($B$8:$B$247,Personnes!$A17,$AT$8:$AT$247)-'Planning par personne'!L17))</f>
        <v>0</v>
      </c>
      <c r="CJ17" t="n">
        <f>IF(OR(Personnes!$A17="",11&gt;Paramètres!$B$9),0,MAX(0,SUMIF($B$8:$B$247,Personnes!$A17,$AU$8:$AU$247)-'Planning par personne'!M17))</f>
        <v>0</v>
      </c>
      <c r="CK17" t="n">
        <f>IF(OR(Personnes!$A17="",12&gt;Paramètres!$B$9),0,MAX(0,SUMIF($B$8:$B$247,Personnes!$A17,$AV$8:$AV$247)-'Planning par personne'!N17))</f>
        <v>0</v>
      </c>
      <c r="CL17" t="n">
        <f>IF(OR(Personnes!$A17="",13&gt;Paramètres!$B$9),0,MAX(0,SUMIF($B$8:$B$247,Personnes!$A17,$AW$8:$AW$247)-'Planning par personne'!O17))</f>
        <v>0</v>
      </c>
      <c r="CM17" t="n">
        <f>IF(OR(Personnes!$A17="",1&gt;Paramètres!$B$9),0,MAX(0,SUMIF($B$8:$B$247,Personnes!$A17,$AX$8:$AX$247)-'Planning par personne'!C17))</f>
        <v>0</v>
      </c>
      <c r="CN17" t="n">
        <f>IF(OR(Personnes!$A17="",2&gt;Paramètres!$B$9),0,MAX(0,SUMIF($B$8:$B$247,Personnes!$A17,$AY$8:$AY$247)-'Planning par personne'!D17))</f>
        <v>0</v>
      </c>
      <c r="CO17" t="n">
        <f>IF(OR(Personnes!$A17="",3&gt;Paramètres!$B$9),0,MAX(0,SUMIF($B$8:$B$247,Personnes!$A17,$AZ$8:$AZ$247)-'Planning par personne'!E17))</f>
        <v>0</v>
      </c>
      <c r="CP17" t="n">
        <f>IF(OR(Personnes!$A17="",4&gt;Paramètres!$B$9),0,MAX(0,SUMIF($B$8:$B$247,Personnes!$A17,$BA$8:$BA$247)-'Planning par personne'!F17))</f>
        <v>0</v>
      </c>
      <c r="CQ17" t="n">
        <f>IF(OR(Personnes!$A17="",5&gt;Paramètres!$B$9),0,MAX(0,SUMIF($B$8:$B$247,Personnes!$A17,$BB$8:$BB$247)-'Planning par personne'!G17))</f>
        <v>0</v>
      </c>
      <c r="CR17" t="n">
        <f>IF(OR(Personnes!$A17="",6&gt;Paramètres!$B$9),0,MAX(0,SUMIF($B$8:$B$247,Personnes!$A17,$BC$8:$BC$247)-'Planning par personne'!H17))</f>
        <v>0</v>
      </c>
      <c r="CS17" t="n">
        <f>IF(OR(Personnes!$A17="",7&gt;Paramètres!$B$9),0,MAX(0,SUMIF($B$8:$B$247,Personnes!$A17,$BD$8:$BD$247)-'Planning par personne'!I17))</f>
        <v>0</v>
      </c>
      <c r="CT17" t="n">
        <f>IF(OR(Personnes!$A17="",8&gt;Paramètres!$B$9),0,MAX(0,SUMIF($B$8:$B$247,Personnes!$A17,$BE$8:$BE$247)-'Planning par personne'!J17))</f>
        <v>0</v>
      </c>
      <c r="CU17" t="n">
        <f>IF(OR(Personnes!$A17="",9&gt;Paramètres!$B$9),0,MAX(0,SUMIF($B$8:$B$247,Personnes!$A17,$BF$8:$BF$247)-'Planning par personne'!K17))</f>
        <v>0</v>
      </c>
      <c r="CV17" t="n">
        <f>IF(OR(Personnes!$A17="",10&gt;Paramètres!$B$9),0,MAX(0,SUMIF($B$8:$B$247,Personnes!$A17,$BG$8:$BG$247)-'Planning par personne'!L17))</f>
        <v>0</v>
      </c>
      <c r="CW17" t="n">
        <f>IF(OR(Personnes!$A17="",11&gt;Paramètres!$B$9),0,MAX(0,SUMIF($B$8:$B$247,Personnes!$A17,$BH$8:$BH$247)-'Planning par personne'!M17))</f>
        <v>0</v>
      </c>
      <c r="CX17" t="n">
        <f>IF(OR(Personnes!$A17="",12&gt;Paramètres!$B$9),0,MAX(0,SUMIF($B$8:$B$247,Personnes!$A17,$BI$8:$BI$247)-'Planning par personne'!N17))</f>
        <v>0</v>
      </c>
      <c r="CY17" t="n">
        <f>IF(OR(Personnes!$A17="",13&gt;Paramètres!$B$9),0,MAX(0,SUMIF($B$8:$B$247,Personnes!$A17,$BJ$8:$BJ$247)-'Planning par personne'!O17))</f>
        <v>0</v>
      </c>
      <c r="DJ17" t="n">
        <f>SUM(BM17:BY17)</f>
        <v>0</v>
      </c>
      <c r="DK17" t="n">
        <f>SUM(BZ17:CL17)</f>
        <v>0</v>
      </c>
      <c r="DL17" t="n">
        <f>SUM(CM17:CY17)</f>
        <v>0</v>
      </c>
      <c r="DM17" t="str">
        <f>IF(AND(Projets!A17&lt;&gt;"",Projets!G17="Engager"),DM16&amp;IF(DM16="","",", ")&amp;Projets!B17,DM16)</f>
        <v/>
      </c>
      <c r="DN17" t="str">
        <f>IF(AND(Projets!A17&lt;&gt;"",Projets!G17="Reporter"),DN16&amp;IF(DN16="","",", ")&amp;Projets!B17,DN16)</f>
        <v/>
      </c>
    </row>
    <row r="18">
      <c r="A18" t="n">
        <f>Charges!A18</f>
        <v>0</v>
      </c>
      <c r="B18" t="n">
        <f>Charges!C18</f>
        <v>0</v>
      </c>
      <c r="C18" t="str">
        <f>Charges!D18</f>
        <v/>
      </c>
      <c r="E18" t="n">
        <f>IF(1&lt;=Paramètres!$B$9,MAX(0,IFERROR(N(IF(ISNUMBER(Charges!F18),MAX(0,Charges!F18),IFERROR(VLOOKUP(Charges!F18,Paramètres!$A$15:$B$18,2,FALSE),0))),0)),0)</f>
        <v>0</v>
      </c>
      <c r="F18" t="n">
        <f>IF(2&lt;=Paramètres!$B$9,MAX(0,IFERROR(N(IF(ISNUMBER(Charges!G18),MAX(0,Charges!G18),IFERROR(VLOOKUP(Charges!G18,Paramètres!$A$15:$B$18,2,FALSE),0))),0)),0)</f>
        <v>0</v>
      </c>
      <c r="G18" t="n">
        <f>IF(3&lt;=Paramètres!$B$9,MAX(0,IFERROR(N(IF(ISNUMBER(Charges!H18),MAX(0,Charges!H18),IFERROR(VLOOKUP(Charges!H18,Paramètres!$A$15:$B$18,2,FALSE),0))),0)),0)</f>
        <v>0</v>
      </c>
      <c r="H18" t="n">
        <f>IF(4&lt;=Paramètres!$B$9,MAX(0,IFERROR(N(IF(ISNUMBER(Charges!I18),MAX(0,Charges!I18),IFERROR(VLOOKUP(Charges!I18,Paramètres!$A$15:$B$18,2,FALSE),0))),0)),0)</f>
        <v>0</v>
      </c>
      <c r="I18" t="n">
        <f>IF(5&lt;=Paramètres!$B$9,MAX(0,IFERROR(N(IF(ISNUMBER(Charges!J18),MAX(0,Charges!J18),IFERROR(VLOOKUP(Charges!J18,Paramètres!$A$15:$B$18,2,FALSE),0))),0)),0)</f>
        <v>0</v>
      </c>
      <c r="J18" t="n">
        <f>IF(6&lt;=Paramètres!$B$9,MAX(0,IFERROR(N(IF(ISNUMBER(Charges!K18),MAX(0,Charges!K18),IFERROR(VLOOKUP(Charges!K18,Paramètres!$A$15:$B$18,2,FALSE),0))),0)),0)</f>
        <v>0</v>
      </c>
      <c r="K18" t="n">
        <f>IF(7&lt;=Paramètres!$B$9,MAX(0,IFERROR(N(IF(ISNUMBER(Charges!L18),MAX(0,Charges!L18),IFERROR(VLOOKUP(Charges!L18,Paramètres!$A$15:$B$18,2,FALSE),0))),0)),0)</f>
        <v>0</v>
      </c>
      <c r="L18" t="n">
        <f>IF(8&lt;=Paramètres!$B$9,MAX(0,IFERROR(N(IF(ISNUMBER(Charges!M18),MAX(0,Charges!M18),IFERROR(VLOOKUP(Charges!M18,Paramètres!$A$15:$B$18,2,FALSE),0))),0)),0)</f>
        <v>0</v>
      </c>
      <c r="M18" t="n">
        <f>IF(9&lt;=Paramètres!$B$9,MAX(0,IFERROR(N(IF(ISNUMBER(Charges!N18),MAX(0,Charges!N18),IFERROR(VLOOKUP(Charges!N18,Paramètres!$A$15:$B$18,2,FALSE),0))),0)),0)</f>
        <v>0</v>
      </c>
      <c r="N18" t="n">
        <f>IF(10&lt;=Paramètres!$B$9,MAX(0,IFERROR(N(IF(ISNUMBER(Charges!O18),MAX(0,Charges!O18),IFERROR(VLOOKUP(Charges!O18,Paramètres!$A$15:$B$18,2,FALSE),0))),0)),0)</f>
        <v>0</v>
      </c>
      <c r="O18" t="n">
        <f>IF(11&lt;=Paramètres!$B$9,MAX(0,IFERROR(N(IF(ISNUMBER(Charges!P18),MAX(0,Charges!P18),IFERROR(VLOOKUP(Charges!P18,Paramètres!$A$15:$B$18,2,FALSE),0))),0)),0)</f>
        <v>0</v>
      </c>
      <c r="P18" t="n">
        <f>IF(12&lt;=Paramètres!$B$9,MAX(0,IFERROR(N(IF(ISNUMBER(Charges!Q18),MAX(0,Charges!Q18),IFERROR(VLOOKUP(Charges!Q18,Paramètres!$A$15:$B$18,2,FALSE),0))),0)),0)</f>
        <v>0</v>
      </c>
      <c r="Q18" t="n">
        <f>IF(13&lt;=Paramètres!$B$9,MAX(0,IFERROR(N(IF(ISNUMBER(Charges!R18),MAX(0,Charges!R18),IFERROR(VLOOKUP(Charges!R18,Paramètres!$A$15:$B$18,2,FALSE),0))),0)),0)</f>
        <v>0</v>
      </c>
      <c r="R18" t="n">
        <f>SUM(E18:Q18)</f>
        <v>0</v>
      </c>
      <c r="S18" t="n">
        <f>IF(IFERROR(VLOOKUP(A18,'Projets'!$A$8:$Z$67,7,FALSE),"")="Engager",1,0)</f>
        <v>0</v>
      </c>
      <c r="T18" t="n">
        <f>IF(OR(Charges!F18="",AND(ISNUMBER(Charges!F18),Charges!F18&gt;=0),Charges!F18="S",Charges!F18="M",Charges!F18="L",Charges!F18="XL"),0,1)+IF(OR(Charges!G18="",AND(ISNUMBER(Charges!G18),Charges!G18&gt;=0),Charges!G18="S",Charges!G18="M",Charges!G18="L",Charges!G18="XL"),0,1)+IF(OR(Charges!H18="",AND(ISNUMBER(Charges!H18),Charges!H18&gt;=0),Charges!H18="S",Charges!H18="M",Charges!H18="L",Charges!H18="XL"),0,1)+IF(OR(Charges!I18="",AND(ISNUMBER(Charges!I18),Charges!I18&gt;=0),Charges!I18="S",Charges!I18="M",Charges!I18="L",Charges!I18="XL"),0,1)+IF(OR(Charges!J18="",AND(ISNUMBER(Charges!J18),Charges!J18&gt;=0),Charges!J18="S",Charges!J18="M",Charges!J18="L",Charges!J18="XL"),0,1)+IF(OR(Charges!K18="",AND(ISNUMBER(Charges!K18),Charges!K18&gt;=0),Charges!K18="S",Charges!K18="M",Charges!K18="L",Charges!K18="XL"),0,1)+IF(OR(Charges!L18="",AND(ISNUMBER(Charges!L18),Charges!L18&gt;=0),Charges!L18="S",Charges!L18="M",Charges!L18="L",Charges!L18="XL"),0,1)+IF(OR(Charges!M18="",AND(ISNUMBER(Charges!M18),Charges!M18&gt;=0),Charges!M18="S",Charges!M18="M",Charges!M18="L",Charges!M18="XL"),0,1)+IF(OR(Charges!N18="",AND(ISNUMBER(Charges!N18),Charges!N18&gt;=0),Charges!N18="S",Charges!N18="M",Charges!N18="L",Charges!N18="XL"),0,1)+IF(OR(Charges!O18="",AND(ISNUMBER(Charges!O18),Charges!O18&gt;=0),Charges!O18="S",Charges!O18="M",Charges!O18="L",Charges!O18="XL"),0,1)+IF(OR(Charges!P18="",AND(ISNUMBER(Charges!P18),Charges!P18&gt;=0),Charges!P18="S",Charges!P18="M",Charges!P18="L",Charges!P18="XL"),0,1)+IF(OR(Charges!Q18="",AND(ISNUMBER(Charges!Q18),Charges!Q18&gt;=0),Charges!Q18="S",Charges!Q18="M",Charges!Q18="L",Charges!Q18="XL"),0,1)+IF(OR(Charges!R18="",AND(ISNUMBER(Charges!R18),Charges!R18&gt;=0),Charges!R18="S",Charges!R18="M",Charges!R18="L",Charges!R18="XL"),0,1)</f>
        <v>0</v>
      </c>
      <c r="U18" t="n">
        <f>IF(AND(1&gt;Paramètres!$B$9,Charges!F18&lt;&gt;"",Charges!F18&lt;&gt;0),1,0)+IF(AND(2&gt;Paramètres!$B$9,Charges!G18&lt;&gt;"",Charges!G18&lt;&gt;0),1,0)+IF(AND(3&gt;Paramètres!$B$9,Charges!H18&lt;&gt;"",Charges!H18&lt;&gt;0),1,0)+IF(AND(4&gt;Paramètres!$B$9,Charges!I18&lt;&gt;"",Charges!I18&lt;&gt;0),1,0)+IF(AND(5&gt;Paramètres!$B$9,Charges!J18&lt;&gt;"",Charges!J18&lt;&gt;0),1,0)+IF(AND(6&gt;Paramètres!$B$9,Charges!K18&lt;&gt;"",Charges!K18&lt;&gt;0),1,0)+IF(AND(7&gt;Paramètres!$B$9,Charges!L18&lt;&gt;"",Charges!L18&lt;&gt;0),1,0)+IF(AND(8&gt;Paramètres!$B$9,Charges!M18&lt;&gt;"",Charges!M18&lt;&gt;0),1,0)+IF(AND(9&gt;Paramètres!$B$9,Charges!N18&lt;&gt;"",Charges!N18&lt;&gt;0),1,0)+IF(AND(10&gt;Paramètres!$B$9,Charges!O18&lt;&gt;"",Charges!O18&lt;&gt;0),1,0)+IF(AND(11&gt;Paramètres!$B$9,Charges!P18&lt;&gt;"",Charges!P18&lt;&gt;0),1,0)+IF(AND(12&gt;Paramètres!$B$9,Charges!Q18&lt;&gt;"",Charges!Q18&lt;&gt;0),1,0)+IF(AND(13&gt;Paramètres!$B$9,Charges!R18&lt;&gt;"",Charges!R18&lt;&gt;0),1,0)</f>
        <v>0</v>
      </c>
      <c r="V18" t="n">
        <f>IF(IFERROR(VLOOKUP(A18,'Projets'!$A$8:$Z$67,5,FALSE),"")="Engager",1,0)</f>
        <v>0</v>
      </c>
      <c r="W18" t="n">
        <f>IF(IFERROR(VLOOKUP(A18,'Projets'!$A$8:$Z$67,6,FALSE),"")="Engager",1,0)</f>
        <v>0</v>
      </c>
      <c r="X18" t="n">
        <f>E18*S18</f>
        <v>0</v>
      </c>
      <c r="Y18" t="n">
        <f>F18*S18</f>
        <v>0</v>
      </c>
      <c r="Z18" t="n">
        <f>G18*S18</f>
        <v>0</v>
      </c>
      <c r="AA18" t="n">
        <f>H18*S18</f>
        <v>0</v>
      </c>
      <c r="AB18" t="n">
        <f>I18*S18</f>
        <v>0</v>
      </c>
      <c r="AC18" t="n">
        <f>J18*S18</f>
        <v>0</v>
      </c>
      <c r="AD18" t="n">
        <f>K18*S18</f>
        <v>0</v>
      </c>
      <c r="AE18" t="n">
        <f>L18*S18</f>
        <v>0</v>
      </c>
      <c r="AF18" t="n">
        <f>M18*S18</f>
        <v>0</v>
      </c>
      <c r="AG18" t="n">
        <f>N18*S18</f>
        <v>0</v>
      </c>
      <c r="AH18" t="n">
        <f>O18*S18</f>
        <v>0</v>
      </c>
      <c r="AI18" t="n">
        <f>P18*S18</f>
        <v>0</v>
      </c>
      <c r="AJ18" t="n">
        <f>Q18*S18</f>
        <v>0</v>
      </c>
      <c r="AK18" t="n">
        <f>E18*V18</f>
        <v>0</v>
      </c>
      <c r="AL18" t="n">
        <f>F18*V18</f>
        <v>0</v>
      </c>
      <c r="AM18" t="n">
        <f>G18*V18</f>
        <v>0</v>
      </c>
      <c r="AN18" t="n">
        <f>H18*V18</f>
        <v>0</v>
      </c>
      <c r="AO18" t="n">
        <f>I18*V18</f>
        <v>0</v>
      </c>
      <c r="AP18" t="n">
        <f>J18*V18</f>
        <v>0</v>
      </c>
      <c r="AQ18" t="n">
        <f>K18*V18</f>
        <v>0</v>
      </c>
      <c r="AR18" t="n">
        <f>L18*V18</f>
        <v>0</v>
      </c>
      <c r="AS18" t="n">
        <f>M18*V18</f>
        <v>0</v>
      </c>
      <c r="AT18" t="n">
        <f>N18*V18</f>
        <v>0</v>
      </c>
      <c r="AU18" t="n">
        <f>O18*V18</f>
        <v>0</v>
      </c>
      <c r="AV18" t="n">
        <f>P18*V18</f>
        <v>0</v>
      </c>
      <c r="AW18" t="n">
        <f>Q18*V18</f>
        <v>0</v>
      </c>
      <c r="AX18" t="n">
        <f>E18*W18</f>
        <v>0</v>
      </c>
      <c r="AY18" t="n">
        <f>F18*W18</f>
        <v>0</v>
      </c>
      <c r="AZ18" t="n">
        <f>G18*W18</f>
        <v>0</v>
      </c>
      <c r="BA18" t="n">
        <f>H18*W18</f>
        <v>0</v>
      </c>
      <c r="BB18" t="n">
        <f>I18*W18</f>
        <v>0</v>
      </c>
      <c r="BC18" t="n">
        <f>J18*W18</f>
        <v>0</v>
      </c>
      <c r="BD18" t="n">
        <f>K18*W18</f>
        <v>0</v>
      </c>
      <c r="BE18" t="n">
        <f>L18*W18</f>
        <v>0</v>
      </c>
      <c r="BF18" t="n">
        <f>M18*W18</f>
        <v>0</v>
      </c>
      <c r="BG18" t="n">
        <f>N18*W18</f>
        <v>0</v>
      </c>
      <c r="BH18" t="n">
        <f>O18*W18</f>
        <v>0</v>
      </c>
      <c r="BI18" t="n">
        <f>P18*W18</f>
        <v>0</v>
      </c>
      <c r="BJ18" t="n">
        <f>Q18*W18</f>
        <v>0</v>
      </c>
      <c r="BM18" t="n">
        <f>IF(OR(Personnes!$A18="",1&gt;Paramètres!$B$9),0,MAX(0,SUMIF($B$8:$B$247,Personnes!$A18,$E$8:$E$247)-'Planning par personne'!C18))</f>
        <v>0</v>
      </c>
      <c r="BN18" t="n">
        <f>IF(OR(Personnes!$A18="",2&gt;Paramètres!$B$9),0,MAX(0,SUMIF($B$8:$B$247,Personnes!$A18,$F$8:$F$247)-'Planning par personne'!D18))</f>
        <v>0</v>
      </c>
      <c r="BO18" t="n">
        <f>IF(OR(Personnes!$A18="",3&gt;Paramètres!$B$9),0,MAX(0,SUMIF($B$8:$B$247,Personnes!$A18,$G$8:$G$247)-'Planning par personne'!E18))</f>
        <v>0</v>
      </c>
      <c r="BP18" t="n">
        <f>IF(OR(Personnes!$A18="",4&gt;Paramètres!$B$9),0,MAX(0,SUMIF($B$8:$B$247,Personnes!$A18,$H$8:$H$247)-'Planning par personne'!F18))</f>
        <v>0</v>
      </c>
      <c r="BQ18" t="n">
        <f>IF(OR(Personnes!$A18="",5&gt;Paramètres!$B$9),0,MAX(0,SUMIF($B$8:$B$247,Personnes!$A18,$I$8:$I$247)-'Planning par personne'!G18))</f>
        <v>0</v>
      </c>
      <c r="BR18" t="n">
        <f>IF(OR(Personnes!$A18="",6&gt;Paramètres!$B$9),0,MAX(0,SUMIF($B$8:$B$247,Personnes!$A18,$J$8:$J$247)-'Planning par personne'!H18))</f>
        <v>0</v>
      </c>
      <c r="BS18" t="n">
        <f>IF(OR(Personnes!$A18="",7&gt;Paramètres!$B$9),0,MAX(0,SUMIF($B$8:$B$247,Personnes!$A18,$K$8:$K$247)-'Planning par personne'!I18))</f>
        <v>0</v>
      </c>
      <c r="BT18" t="n">
        <f>IF(OR(Personnes!$A18="",8&gt;Paramètres!$B$9),0,MAX(0,SUMIF($B$8:$B$247,Personnes!$A18,$L$8:$L$247)-'Planning par personne'!J18))</f>
        <v>0</v>
      </c>
      <c r="BU18" t="n">
        <f>IF(OR(Personnes!$A18="",9&gt;Paramètres!$B$9),0,MAX(0,SUMIF($B$8:$B$247,Personnes!$A18,$M$8:$M$247)-'Planning par personne'!K18))</f>
        <v>0</v>
      </c>
      <c r="BV18" t="n">
        <f>IF(OR(Personnes!$A18="",10&gt;Paramètres!$B$9),0,MAX(0,SUMIF($B$8:$B$247,Personnes!$A18,$N$8:$N$247)-'Planning par personne'!L18))</f>
        <v>0</v>
      </c>
      <c r="BW18" t="n">
        <f>IF(OR(Personnes!$A18="",11&gt;Paramètres!$B$9),0,MAX(0,SUMIF($B$8:$B$247,Personnes!$A18,$O$8:$O$247)-'Planning par personne'!M18))</f>
        <v>0</v>
      </c>
      <c r="BX18" t="n">
        <f>IF(OR(Personnes!$A18="",12&gt;Paramètres!$B$9),0,MAX(0,SUMIF($B$8:$B$247,Personnes!$A18,$P$8:$P$247)-'Planning par personne'!N18))</f>
        <v>0</v>
      </c>
      <c r="BY18" t="n">
        <f>IF(OR(Personnes!$A18="",13&gt;Paramètres!$B$9),0,MAX(0,SUMIF($B$8:$B$247,Personnes!$A18,$Q$8:$Q$247)-'Planning par personne'!O18))</f>
        <v>0</v>
      </c>
      <c r="BZ18" t="n">
        <f>IF(OR(Personnes!$A18="",1&gt;Paramètres!$B$9),0,MAX(0,SUMIF($B$8:$B$247,Personnes!$A18,$AK$8:$AK$247)-'Planning par personne'!C18))</f>
        <v>0</v>
      </c>
      <c r="CA18" t="n">
        <f>IF(OR(Personnes!$A18="",2&gt;Paramètres!$B$9),0,MAX(0,SUMIF($B$8:$B$247,Personnes!$A18,$AL$8:$AL$247)-'Planning par personne'!D18))</f>
        <v>0</v>
      </c>
      <c r="CB18" t="n">
        <f>IF(OR(Personnes!$A18="",3&gt;Paramètres!$B$9),0,MAX(0,SUMIF($B$8:$B$247,Personnes!$A18,$AM$8:$AM$247)-'Planning par personne'!E18))</f>
        <v>0</v>
      </c>
      <c r="CC18" t="n">
        <f>IF(OR(Personnes!$A18="",4&gt;Paramètres!$B$9),0,MAX(0,SUMIF($B$8:$B$247,Personnes!$A18,$AN$8:$AN$247)-'Planning par personne'!F18))</f>
        <v>0</v>
      </c>
      <c r="CD18" t="n">
        <f>IF(OR(Personnes!$A18="",5&gt;Paramètres!$B$9),0,MAX(0,SUMIF($B$8:$B$247,Personnes!$A18,$AO$8:$AO$247)-'Planning par personne'!G18))</f>
        <v>0</v>
      </c>
      <c r="CE18" t="n">
        <f>IF(OR(Personnes!$A18="",6&gt;Paramètres!$B$9),0,MAX(0,SUMIF($B$8:$B$247,Personnes!$A18,$AP$8:$AP$247)-'Planning par personne'!H18))</f>
        <v>0</v>
      </c>
      <c r="CF18" t="n">
        <f>IF(OR(Personnes!$A18="",7&gt;Paramètres!$B$9),0,MAX(0,SUMIF($B$8:$B$247,Personnes!$A18,$AQ$8:$AQ$247)-'Planning par personne'!I18))</f>
        <v>0</v>
      </c>
      <c r="CG18" t="n">
        <f>IF(OR(Personnes!$A18="",8&gt;Paramètres!$B$9),0,MAX(0,SUMIF($B$8:$B$247,Personnes!$A18,$AR$8:$AR$247)-'Planning par personne'!J18))</f>
        <v>0</v>
      </c>
      <c r="CH18" t="n">
        <f>IF(OR(Personnes!$A18="",9&gt;Paramètres!$B$9),0,MAX(0,SUMIF($B$8:$B$247,Personnes!$A18,$AS$8:$AS$247)-'Planning par personne'!K18))</f>
        <v>0</v>
      </c>
      <c r="CI18" t="n">
        <f>IF(OR(Personnes!$A18="",10&gt;Paramètres!$B$9),0,MAX(0,SUMIF($B$8:$B$247,Personnes!$A18,$AT$8:$AT$247)-'Planning par personne'!L18))</f>
        <v>0</v>
      </c>
      <c r="CJ18" t="n">
        <f>IF(OR(Personnes!$A18="",11&gt;Paramètres!$B$9),0,MAX(0,SUMIF($B$8:$B$247,Personnes!$A18,$AU$8:$AU$247)-'Planning par personne'!M18))</f>
        <v>0</v>
      </c>
      <c r="CK18" t="n">
        <f>IF(OR(Personnes!$A18="",12&gt;Paramètres!$B$9),0,MAX(0,SUMIF($B$8:$B$247,Personnes!$A18,$AV$8:$AV$247)-'Planning par personne'!N18))</f>
        <v>0</v>
      </c>
      <c r="CL18" t="n">
        <f>IF(OR(Personnes!$A18="",13&gt;Paramètres!$B$9),0,MAX(0,SUMIF($B$8:$B$247,Personnes!$A18,$AW$8:$AW$247)-'Planning par personne'!O18))</f>
        <v>0</v>
      </c>
      <c r="CM18" t="n">
        <f>IF(OR(Personnes!$A18="",1&gt;Paramètres!$B$9),0,MAX(0,SUMIF($B$8:$B$247,Personnes!$A18,$AX$8:$AX$247)-'Planning par personne'!C18))</f>
        <v>0</v>
      </c>
      <c r="CN18" t="n">
        <f>IF(OR(Personnes!$A18="",2&gt;Paramètres!$B$9),0,MAX(0,SUMIF($B$8:$B$247,Personnes!$A18,$AY$8:$AY$247)-'Planning par personne'!D18))</f>
        <v>0</v>
      </c>
      <c r="CO18" t="n">
        <f>IF(OR(Personnes!$A18="",3&gt;Paramètres!$B$9),0,MAX(0,SUMIF($B$8:$B$247,Personnes!$A18,$AZ$8:$AZ$247)-'Planning par personne'!E18))</f>
        <v>0</v>
      </c>
      <c r="CP18" t="n">
        <f>IF(OR(Personnes!$A18="",4&gt;Paramètres!$B$9),0,MAX(0,SUMIF($B$8:$B$247,Personnes!$A18,$BA$8:$BA$247)-'Planning par personne'!F18))</f>
        <v>0</v>
      </c>
      <c r="CQ18" t="n">
        <f>IF(OR(Personnes!$A18="",5&gt;Paramètres!$B$9),0,MAX(0,SUMIF($B$8:$B$247,Personnes!$A18,$BB$8:$BB$247)-'Planning par personne'!G18))</f>
        <v>0</v>
      </c>
      <c r="CR18" t="n">
        <f>IF(OR(Personnes!$A18="",6&gt;Paramètres!$B$9),0,MAX(0,SUMIF($B$8:$B$247,Personnes!$A18,$BC$8:$BC$247)-'Planning par personne'!H18))</f>
        <v>0</v>
      </c>
      <c r="CS18" t="n">
        <f>IF(OR(Personnes!$A18="",7&gt;Paramètres!$B$9),0,MAX(0,SUMIF($B$8:$B$247,Personnes!$A18,$BD$8:$BD$247)-'Planning par personne'!I18))</f>
        <v>0</v>
      </c>
      <c r="CT18" t="n">
        <f>IF(OR(Personnes!$A18="",8&gt;Paramètres!$B$9),0,MAX(0,SUMIF($B$8:$B$247,Personnes!$A18,$BE$8:$BE$247)-'Planning par personne'!J18))</f>
        <v>0</v>
      </c>
      <c r="CU18" t="n">
        <f>IF(OR(Personnes!$A18="",9&gt;Paramètres!$B$9),0,MAX(0,SUMIF($B$8:$B$247,Personnes!$A18,$BF$8:$BF$247)-'Planning par personne'!K18))</f>
        <v>0</v>
      </c>
      <c r="CV18" t="n">
        <f>IF(OR(Personnes!$A18="",10&gt;Paramètres!$B$9),0,MAX(0,SUMIF($B$8:$B$247,Personnes!$A18,$BG$8:$BG$247)-'Planning par personne'!L18))</f>
        <v>0</v>
      </c>
      <c r="CW18" t="n">
        <f>IF(OR(Personnes!$A18="",11&gt;Paramètres!$B$9),0,MAX(0,SUMIF($B$8:$B$247,Personnes!$A18,$BH$8:$BH$247)-'Planning par personne'!M18))</f>
        <v>0</v>
      </c>
      <c r="CX18" t="n">
        <f>IF(OR(Personnes!$A18="",12&gt;Paramètres!$B$9),0,MAX(0,SUMIF($B$8:$B$247,Personnes!$A18,$BI$8:$BI$247)-'Planning par personne'!N18))</f>
        <v>0</v>
      </c>
      <c r="CY18" t="n">
        <f>IF(OR(Personnes!$A18="",13&gt;Paramètres!$B$9),0,MAX(0,SUMIF($B$8:$B$247,Personnes!$A18,$BJ$8:$BJ$247)-'Planning par personne'!O18))</f>
        <v>0</v>
      </c>
      <c r="DJ18" t="n">
        <f>SUM(BM18:BY18)</f>
        <v>0</v>
      </c>
      <c r="DK18" t="n">
        <f>SUM(BZ18:CL18)</f>
        <v>0</v>
      </c>
      <c r="DL18" t="n">
        <f>SUM(CM18:CY18)</f>
        <v>0</v>
      </c>
      <c r="DM18" t="str">
        <f>IF(AND(Projets!A18&lt;&gt;"",Projets!G18="Engager"),DM17&amp;IF(DM17="","",", ")&amp;Projets!B18,DM17)</f>
        <v/>
      </c>
      <c r="DN18" t="str">
        <f>IF(AND(Projets!A18&lt;&gt;"",Projets!G18="Reporter"),DN17&amp;IF(DN17="","",", ")&amp;Projets!B18,DN17)</f>
        <v/>
      </c>
    </row>
    <row r="19">
      <c r="A19" t="n">
        <f>Charges!A19</f>
        <v>0</v>
      </c>
      <c r="B19" t="n">
        <f>Charges!C19</f>
        <v>0</v>
      </c>
      <c r="C19" t="str">
        <f>Charges!D19</f>
        <v/>
      </c>
      <c r="E19" t="n">
        <f>IF(1&lt;=Paramètres!$B$9,MAX(0,IFERROR(N(IF(ISNUMBER(Charges!F19),MAX(0,Charges!F19),IFERROR(VLOOKUP(Charges!F19,Paramètres!$A$15:$B$18,2,FALSE),0))),0)),0)</f>
        <v>0</v>
      </c>
      <c r="F19" t="n">
        <f>IF(2&lt;=Paramètres!$B$9,MAX(0,IFERROR(N(IF(ISNUMBER(Charges!G19),MAX(0,Charges!G19),IFERROR(VLOOKUP(Charges!G19,Paramètres!$A$15:$B$18,2,FALSE),0))),0)),0)</f>
        <v>0</v>
      </c>
      <c r="G19" t="n">
        <f>IF(3&lt;=Paramètres!$B$9,MAX(0,IFERROR(N(IF(ISNUMBER(Charges!H19),MAX(0,Charges!H19),IFERROR(VLOOKUP(Charges!H19,Paramètres!$A$15:$B$18,2,FALSE),0))),0)),0)</f>
        <v>0</v>
      </c>
      <c r="H19" t="n">
        <f>IF(4&lt;=Paramètres!$B$9,MAX(0,IFERROR(N(IF(ISNUMBER(Charges!I19),MAX(0,Charges!I19),IFERROR(VLOOKUP(Charges!I19,Paramètres!$A$15:$B$18,2,FALSE),0))),0)),0)</f>
        <v>0</v>
      </c>
      <c r="I19" t="n">
        <f>IF(5&lt;=Paramètres!$B$9,MAX(0,IFERROR(N(IF(ISNUMBER(Charges!J19),MAX(0,Charges!J19),IFERROR(VLOOKUP(Charges!J19,Paramètres!$A$15:$B$18,2,FALSE),0))),0)),0)</f>
        <v>0</v>
      </c>
      <c r="J19" t="n">
        <f>IF(6&lt;=Paramètres!$B$9,MAX(0,IFERROR(N(IF(ISNUMBER(Charges!K19),MAX(0,Charges!K19),IFERROR(VLOOKUP(Charges!K19,Paramètres!$A$15:$B$18,2,FALSE),0))),0)),0)</f>
        <v>0</v>
      </c>
      <c r="K19" t="n">
        <f>IF(7&lt;=Paramètres!$B$9,MAX(0,IFERROR(N(IF(ISNUMBER(Charges!L19),MAX(0,Charges!L19),IFERROR(VLOOKUP(Charges!L19,Paramètres!$A$15:$B$18,2,FALSE),0))),0)),0)</f>
        <v>0</v>
      </c>
      <c r="L19" t="n">
        <f>IF(8&lt;=Paramètres!$B$9,MAX(0,IFERROR(N(IF(ISNUMBER(Charges!M19),MAX(0,Charges!M19),IFERROR(VLOOKUP(Charges!M19,Paramètres!$A$15:$B$18,2,FALSE),0))),0)),0)</f>
        <v>0</v>
      </c>
      <c r="M19" t="n">
        <f>IF(9&lt;=Paramètres!$B$9,MAX(0,IFERROR(N(IF(ISNUMBER(Charges!N19),MAX(0,Charges!N19),IFERROR(VLOOKUP(Charges!N19,Paramètres!$A$15:$B$18,2,FALSE),0))),0)),0)</f>
        <v>0</v>
      </c>
      <c r="N19" t="n">
        <f>IF(10&lt;=Paramètres!$B$9,MAX(0,IFERROR(N(IF(ISNUMBER(Charges!O19),MAX(0,Charges!O19),IFERROR(VLOOKUP(Charges!O19,Paramètres!$A$15:$B$18,2,FALSE),0))),0)),0)</f>
        <v>0</v>
      </c>
      <c r="O19" t="n">
        <f>IF(11&lt;=Paramètres!$B$9,MAX(0,IFERROR(N(IF(ISNUMBER(Charges!P19),MAX(0,Charges!P19),IFERROR(VLOOKUP(Charges!P19,Paramètres!$A$15:$B$18,2,FALSE),0))),0)),0)</f>
        <v>0</v>
      </c>
      <c r="P19" t="n">
        <f>IF(12&lt;=Paramètres!$B$9,MAX(0,IFERROR(N(IF(ISNUMBER(Charges!Q19),MAX(0,Charges!Q19),IFERROR(VLOOKUP(Charges!Q19,Paramètres!$A$15:$B$18,2,FALSE),0))),0)),0)</f>
        <v>0</v>
      </c>
      <c r="Q19" t="n">
        <f>IF(13&lt;=Paramètres!$B$9,MAX(0,IFERROR(N(IF(ISNUMBER(Charges!R19),MAX(0,Charges!R19),IFERROR(VLOOKUP(Charges!R19,Paramètres!$A$15:$B$18,2,FALSE),0))),0)),0)</f>
        <v>0</v>
      </c>
      <c r="R19" t="n">
        <f>SUM(E19:Q19)</f>
        <v>0</v>
      </c>
      <c r="S19" t="n">
        <f>IF(IFERROR(VLOOKUP(A19,'Projets'!$A$8:$Z$67,7,FALSE),"")="Engager",1,0)</f>
        <v>0</v>
      </c>
      <c r="T19" t="n">
        <f>IF(OR(Charges!F19="",AND(ISNUMBER(Charges!F19),Charges!F19&gt;=0),Charges!F19="S",Charges!F19="M",Charges!F19="L",Charges!F19="XL"),0,1)+IF(OR(Charges!G19="",AND(ISNUMBER(Charges!G19),Charges!G19&gt;=0),Charges!G19="S",Charges!G19="M",Charges!G19="L",Charges!G19="XL"),0,1)+IF(OR(Charges!H19="",AND(ISNUMBER(Charges!H19),Charges!H19&gt;=0),Charges!H19="S",Charges!H19="M",Charges!H19="L",Charges!H19="XL"),0,1)+IF(OR(Charges!I19="",AND(ISNUMBER(Charges!I19),Charges!I19&gt;=0),Charges!I19="S",Charges!I19="M",Charges!I19="L",Charges!I19="XL"),0,1)+IF(OR(Charges!J19="",AND(ISNUMBER(Charges!J19),Charges!J19&gt;=0),Charges!J19="S",Charges!J19="M",Charges!J19="L",Charges!J19="XL"),0,1)+IF(OR(Charges!K19="",AND(ISNUMBER(Charges!K19),Charges!K19&gt;=0),Charges!K19="S",Charges!K19="M",Charges!K19="L",Charges!K19="XL"),0,1)+IF(OR(Charges!L19="",AND(ISNUMBER(Charges!L19),Charges!L19&gt;=0),Charges!L19="S",Charges!L19="M",Charges!L19="L",Charges!L19="XL"),0,1)+IF(OR(Charges!M19="",AND(ISNUMBER(Charges!M19),Charges!M19&gt;=0),Charges!M19="S",Charges!M19="M",Charges!M19="L",Charges!M19="XL"),0,1)+IF(OR(Charges!N19="",AND(ISNUMBER(Charges!N19),Charges!N19&gt;=0),Charges!N19="S",Charges!N19="M",Charges!N19="L",Charges!N19="XL"),0,1)+IF(OR(Charges!O19="",AND(ISNUMBER(Charges!O19),Charges!O19&gt;=0),Charges!O19="S",Charges!O19="M",Charges!O19="L",Charges!O19="XL"),0,1)+IF(OR(Charges!P19="",AND(ISNUMBER(Charges!P19),Charges!P19&gt;=0),Charges!P19="S",Charges!P19="M",Charges!P19="L",Charges!P19="XL"),0,1)+IF(OR(Charges!Q19="",AND(ISNUMBER(Charges!Q19),Charges!Q19&gt;=0),Charges!Q19="S",Charges!Q19="M",Charges!Q19="L",Charges!Q19="XL"),0,1)+IF(OR(Charges!R19="",AND(ISNUMBER(Charges!R19),Charges!R19&gt;=0),Charges!R19="S",Charges!R19="M",Charges!R19="L",Charges!R19="XL"),0,1)</f>
        <v>0</v>
      </c>
      <c r="U19" t="n">
        <f>IF(AND(1&gt;Paramètres!$B$9,Charges!F19&lt;&gt;"",Charges!F19&lt;&gt;0),1,0)+IF(AND(2&gt;Paramètres!$B$9,Charges!G19&lt;&gt;"",Charges!G19&lt;&gt;0),1,0)+IF(AND(3&gt;Paramètres!$B$9,Charges!H19&lt;&gt;"",Charges!H19&lt;&gt;0),1,0)+IF(AND(4&gt;Paramètres!$B$9,Charges!I19&lt;&gt;"",Charges!I19&lt;&gt;0),1,0)+IF(AND(5&gt;Paramètres!$B$9,Charges!J19&lt;&gt;"",Charges!J19&lt;&gt;0),1,0)+IF(AND(6&gt;Paramètres!$B$9,Charges!K19&lt;&gt;"",Charges!K19&lt;&gt;0),1,0)+IF(AND(7&gt;Paramètres!$B$9,Charges!L19&lt;&gt;"",Charges!L19&lt;&gt;0),1,0)+IF(AND(8&gt;Paramètres!$B$9,Charges!M19&lt;&gt;"",Charges!M19&lt;&gt;0),1,0)+IF(AND(9&gt;Paramètres!$B$9,Charges!N19&lt;&gt;"",Charges!N19&lt;&gt;0),1,0)+IF(AND(10&gt;Paramètres!$B$9,Charges!O19&lt;&gt;"",Charges!O19&lt;&gt;0),1,0)+IF(AND(11&gt;Paramètres!$B$9,Charges!P19&lt;&gt;"",Charges!P19&lt;&gt;0),1,0)+IF(AND(12&gt;Paramètres!$B$9,Charges!Q19&lt;&gt;"",Charges!Q19&lt;&gt;0),1,0)+IF(AND(13&gt;Paramètres!$B$9,Charges!R19&lt;&gt;"",Charges!R19&lt;&gt;0),1,0)</f>
        <v>0</v>
      </c>
      <c r="V19" t="n">
        <f>IF(IFERROR(VLOOKUP(A19,'Projets'!$A$8:$Z$67,5,FALSE),"")="Engager",1,0)</f>
        <v>0</v>
      </c>
      <c r="W19" t="n">
        <f>IF(IFERROR(VLOOKUP(A19,'Projets'!$A$8:$Z$67,6,FALSE),"")="Engager",1,0)</f>
        <v>0</v>
      </c>
      <c r="X19" t="n">
        <f>E19*S19</f>
        <v>0</v>
      </c>
      <c r="Y19" t="n">
        <f>F19*S19</f>
        <v>0</v>
      </c>
      <c r="Z19" t="n">
        <f>G19*S19</f>
        <v>0</v>
      </c>
      <c r="AA19" t="n">
        <f>H19*S19</f>
        <v>0</v>
      </c>
      <c r="AB19" t="n">
        <f>I19*S19</f>
        <v>0</v>
      </c>
      <c r="AC19" t="n">
        <f>J19*S19</f>
        <v>0</v>
      </c>
      <c r="AD19" t="n">
        <f>K19*S19</f>
        <v>0</v>
      </c>
      <c r="AE19" t="n">
        <f>L19*S19</f>
        <v>0</v>
      </c>
      <c r="AF19" t="n">
        <f>M19*S19</f>
        <v>0</v>
      </c>
      <c r="AG19" t="n">
        <f>N19*S19</f>
        <v>0</v>
      </c>
      <c r="AH19" t="n">
        <f>O19*S19</f>
        <v>0</v>
      </c>
      <c r="AI19" t="n">
        <f>P19*S19</f>
        <v>0</v>
      </c>
      <c r="AJ19" t="n">
        <f>Q19*S19</f>
        <v>0</v>
      </c>
      <c r="AK19" t="n">
        <f>E19*V19</f>
        <v>0</v>
      </c>
      <c r="AL19" t="n">
        <f>F19*V19</f>
        <v>0</v>
      </c>
      <c r="AM19" t="n">
        <f>G19*V19</f>
        <v>0</v>
      </c>
      <c r="AN19" t="n">
        <f>H19*V19</f>
        <v>0</v>
      </c>
      <c r="AO19" t="n">
        <f>I19*V19</f>
        <v>0</v>
      </c>
      <c r="AP19" t="n">
        <f>J19*V19</f>
        <v>0</v>
      </c>
      <c r="AQ19" t="n">
        <f>K19*V19</f>
        <v>0</v>
      </c>
      <c r="AR19" t="n">
        <f>L19*V19</f>
        <v>0</v>
      </c>
      <c r="AS19" t="n">
        <f>M19*V19</f>
        <v>0</v>
      </c>
      <c r="AT19" t="n">
        <f>N19*V19</f>
        <v>0</v>
      </c>
      <c r="AU19" t="n">
        <f>O19*V19</f>
        <v>0</v>
      </c>
      <c r="AV19" t="n">
        <f>P19*V19</f>
        <v>0</v>
      </c>
      <c r="AW19" t="n">
        <f>Q19*V19</f>
        <v>0</v>
      </c>
      <c r="AX19" t="n">
        <f>E19*W19</f>
        <v>0</v>
      </c>
      <c r="AY19" t="n">
        <f>F19*W19</f>
        <v>0</v>
      </c>
      <c r="AZ19" t="n">
        <f>G19*W19</f>
        <v>0</v>
      </c>
      <c r="BA19" t="n">
        <f>H19*W19</f>
        <v>0</v>
      </c>
      <c r="BB19" t="n">
        <f>I19*W19</f>
        <v>0</v>
      </c>
      <c r="BC19" t="n">
        <f>J19*W19</f>
        <v>0</v>
      </c>
      <c r="BD19" t="n">
        <f>K19*W19</f>
        <v>0</v>
      </c>
      <c r="BE19" t="n">
        <f>L19*W19</f>
        <v>0</v>
      </c>
      <c r="BF19" t="n">
        <f>M19*W19</f>
        <v>0</v>
      </c>
      <c r="BG19" t="n">
        <f>N19*W19</f>
        <v>0</v>
      </c>
      <c r="BH19" t="n">
        <f>O19*W19</f>
        <v>0</v>
      </c>
      <c r="BI19" t="n">
        <f>P19*W19</f>
        <v>0</v>
      </c>
      <c r="BJ19" t="n">
        <f>Q19*W19</f>
        <v>0</v>
      </c>
      <c r="BM19" t="n">
        <f>IF(OR(Personnes!$A19="",1&gt;Paramètres!$B$9),0,MAX(0,SUMIF($B$8:$B$247,Personnes!$A19,$E$8:$E$247)-'Planning par personne'!C19))</f>
        <v>0</v>
      </c>
      <c r="BN19" t="n">
        <f>IF(OR(Personnes!$A19="",2&gt;Paramètres!$B$9),0,MAX(0,SUMIF($B$8:$B$247,Personnes!$A19,$F$8:$F$247)-'Planning par personne'!D19))</f>
        <v>0</v>
      </c>
      <c r="BO19" t="n">
        <f>IF(OR(Personnes!$A19="",3&gt;Paramètres!$B$9),0,MAX(0,SUMIF($B$8:$B$247,Personnes!$A19,$G$8:$G$247)-'Planning par personne'!E19))</f>
        <v>0</v>
      </c>
      <c r="BP19" t="n">
        <f>IF(OR(Personnes!$A19="",4&gt;Paramètres!$B$9),0,MAX(0,SUMIF($B$8:$B$247,Personnes!$A19,$H$8:$H$247)-'Planning par personne'!F19))</f>
        <v>0</v>
      </c>
      <c r="BQ19" t="n">
        <f>IF(OR(Personnes!$A19="",5&gt;Paramètres!$B$9),0,MAX(0,SUMIF($B$8:$B$247,Personnes!$A19,$I$8:$I$247)-'Planning par personne'!G19))</f>
        <v>0</v>
      </c>
      <c r="BR19" t="n">
        <f>IF(OR(Personnes!$A19="",6&gt;Paramètres!$B$9),0,MAX(0,SUMIF($B$8:$B$247,Personnes!$A19,$J$8:$J$247)-'Planning par personne'!H19))</f>
        <v>0</v>
      </c>
      <c r="BS19" t="n">
        <f>IF(OR(Personnes!$A19="",7&gt;Paramètres!$B$9),0,MAX(0,SUMIF($B$8:$B$247,Personnes!$A19,$K$8:$K$247)-'Planning par personne'!I19))</f>
        <v>0</v>
      </c>
      <c r="BT19" t="n">
        <f>IF(OR(Personnes!$A19="",8&gt;Paramètres!$B$9),0,MAX(0,SUMIF($B$8:$B$247,Personnes!$A19,$L$8:$L$247)-'Planning par personne'!J19))</f>
        <v>0</v>
      </c>
      <c r="BU19" t="n">
        <f>IF(OR(Personnes!$A19="",9&gt;Paramètres!$B$9),0,MAX(0,SUMIF($B$8:$B$247,Personnes!$A19,$M$8:$M$247)-'Planning par personne'!K19))</f>
        <v>0</v>
      </c>
      <c r="BV19" t="n">
        <f>IF(OR(Personnes!$A19="",10&gt;Paramètres!$B$9),0,MAX(0,SUMIF($B$8:$B$247,Personnes!$A19,$N$8:$N$247)-'Planning par personne'!L19))</f>
        <v>0</v>
      </c>
      <c r="BW19" t="n">
        <f>IF(OR(Personnes!$A19="",11&gt;Paramètres!$B$9),0,MAX(0,SUMIF($B$8:$B$247,Personnes!$A19,$O$8:$O$247)-'Planning par personne'!M19))</f>
        <v>0</v>
      </c>
      <c r="BX19" t="n">
        <f>IF(OR(Personnes!$A19="",12&gt;Paramètres!$B$9),0,MAX(0,SUMIF($B$8:$B$247,Personnes!$A19,$P$8:$P$247)-'Planning par personne'!N19))</f>
        <v>0</v>
      </c>
      <c r="BY19" t="n">
        <f>IF(OR(Personnes!$A19="",13&gt;Paramètres!$B$9),0,MAX(0,SUMIF($B$8:$B$247,Personnes!$A19,$Q$8:$Q$247)-'Planning par personne'!O19))</f>
        <v>0</v>
      </c>
      <c r="BZ19" t="n">
        <f>IF(OR(Personnes!$A19="",1&gt;Paramètres!$B$9),0,MAX(0,SUMIF($B$8:$B$247,Personnes!$A19,$AK$8:$AK$247)-'Planning par personne'!C19))</f>
        <v>0</v>
      </c>
      <c r="CA19" t="n">
        <f>IF(OR(Personnes!$A19="",2&gt;Paramètres!$B$9),0,MAX(0,SUMIF($B$8:$B$247,Personnes!$A19,$AL$8:$AL$247)-'Planning par personne'!D19))</f>
        <v>0</v>
      </c>
      <c r="CB19" t="n">
        <f>IF(OR(Personnes!$A19="",3&gt;Paramètres!$B$9),0,MAX(0,SUMIF($B$8:$B$247,Personnes!$A19,$AM$8:$AM$247)-'Planning par personne'!E19))</f>
        <v>0</v>
      </c>
      <c r="CC19" t="n">
        <f>IF(OR(Personnes!$A19="",4&gt;Paramètres!$B$9),0,MAX(0,SUMIF($B$8:$B$247,Personnes!$A19,$AN$8:$AN$247)-'Planning par personne'!F19))</f>
        <v>0</v>
      </c>
      <c r="CD19" t="n">
        <f>IF(OR(Personnes!$A19="",5&gt;Paramètres!$B$9),0,MAX(0,SUMIF($B$8:$B$247,Personnes!$A19,$AO$8:$AO$247)-'Planning par personne'!G19))</f>
        <v>0</v>
      </c>
      <c r="CE19" t="n">
        <f>IF(OR(Personnes!$A19="",6&gt;Paramètres!$B$9),0,MAX(0,SUMIF($B$8:$B$247,Personnes!$A19,$AP$8:$AP$247)-'Planning par personne'!H19))</f>
        <v>0</v>
      </c>
      <c r="CF19" t="n">
        <f>IF(OR(Personnes!$A19="",7&gt;Paramètres!$B$9),0,MAX(0,SUMIF($B$8:$B$247,Personnes!$A19,$AQ$8:$AQ$247)-'Planning par personne'!I19))</f>
        <v>0</v>
      </c>
      <c r="CG19" t="n">
        <f>IF(OR(Personnes!$A19="",8&gt;Paramètres!$B$9),0,MAX(0,SUMIF($B$8:$B$247,Personnes!$A19,$AR$8:$AR$247)-'Planning par personne'!J19))</f>
        <v>0</v>
      </c>
      <c r="CH19" t="n">
        <f>IF(OR(Personnes!$A19="",9&gt;Paramètres!$B$9),0,MAX(0,SUMIF($B$8:$B$247,Personnes!$A19,$AS$8:$AS$247)-'Planning par personne'!K19))</f>
        <v>0</v>
      </c>
      <c r="CI19" t="n">
        <f>IF(OR(Personnes!$A19="",10&gt;Paramètres!$B$9),0,MAX(0,SUMIF($B$8:$B$247,Personnes!$A19,$AT$8:$AT$247)-'Planning par personne'!L19))</f>
        <v>0</v>
      </c>
      <c r="CJ19" t="n">
        <f>IF(OR(Personnes!$A19="",11&gt;Paramètres!$B$9),0,MAX(0,SUMIF($B$8:$B$247,Personnes!$A19,$AU$8:$AU$247)-'Planning par personne'!M19))</f>
        <v>0</v>
      </c>
      <c r="CK19" t="n">
        <f>IF(OR(Personnes!$A19="",12&gt;Paramètres!$B$9),0,MAX(0,SUMIF($B$8:$B$247,Personnes!$A19,$AV$8:$AV$247)-'Planning par personne'!N19))</f>
        <v>0</v>
      </c>
      <c r="CL19" t="n">
        <f>IF(OR(Personnes!$A19="",13&gt;Paramètres!$B$9),0,MAX(0,SUMIF($B$8:$B$247,Personnes!$A19,$AW$8:$AW$247)-'Planning par personne'!O19))</f>
        <v>0</v>
      </c>
      <c r="CM19" t="n">
        <f>IF(OR(Personnes!$A19="",1&gt;Paramètres!$B$9),0,MAX(0,SUMIF($B$8:$B$247,Personnes!$A19,$AX$8:$AX$247)-'Planning par personne'!C19))</f>
        <v>0</v>
      </c>
      <c r="CN19" t="n">
        <f>IF(OR(Personnes!$A19="",2&gt;Paramètres!$B$9),0,MAX(0,SUMIF($B$8:$B$247,Personnes!$A19,$AY$8:$AY$247)-'Planning par personne'!D19))</f>
        <v>0</v>
      </c>
      <c r="CO19" t="n">
        <f>IF(OR(Personnes!$A19="",3&gt;Paramètres!$B$9),0,MAX(0,SUMIF($B$8:$B$247,Personnes!$A19,$AZ$8:$AZ$247)-'Planning par personne'!E19))</f>
        <v>0</v>
      </c>
      <c r="CP19" t="n">
        <f>IF(OR(Personnes!$A19="",4&gt;Paramètres!$B$9),0,MAX(0,SUMIF($B$8:$B$247,Personnes!$A19,$BA$8:$BA$247)-'Planning par personne'!F19))</f>
        <v>0</v>
      </c>
      <c r="CQ19" t="n">
        <f>IF(OR(Personnes!$A19="",5&gt;Paramètres!$B$9),0,MAX(0,SUMIF($B$8:$B$247,Personnes!$A19,$BB$8:$BB$247)-'Planning par personne'!G19))</f>
        <v>0</v>
      </c>
      <c r="CR19" t="n">
        <f>IF(OR(Personnes!$A19="",6&gt;Paramètres!$B$9),0,MAX(0,SUMIF($B$8:$B$247,Personnes!$A19,$BC$8:$BC$247)-'Planning par personne'!H19))</f>
        <v>0</v>
      </c>
      <c r="CS19" t="n">
        <f>IF(OR(Personnes!$A19="",7&gt;Paramètres!$B$9),0,MAX(0,SUMIF($B$8:$B$247,Personnes!$A19,$BD$8:$BD$247)-'Planning par personne'!I19))</f>
        <v>0</v>
      </c>
      <c r="CT19" t="n">
        <f>IF(OR(Personnes!$A19="",8&gt;Paramètres!$B$9),0,MAX(0,SUMIF($B$8:$B$247,Personnes!$A19,$BE$8:$BE$247)-'Planning par personne'!J19))</f>
        <v>0</v>
      </c>
      <c r="CU19" t="n">
        <f>IF(OR(Personnes!$A19="",9&gt;Paramètres!$B$9),0,MAX(0,SUMIF($B$8:$B$247,Personnes!$A19,$BF$8:$BF$247)-'Planning par personne'!K19))</f>
        <v>0</v>
      </c>
      <c r="CV19" t="n">
        <f>IF(OR(Personnes!$A19="",10&gt;Paramètres!$B$9),0,MAX(0,SUMIF($B$8:$B$247,Personnes!$A19,$BG$8:$BG$247)-'Planning par personne'!L19))</f>
        <v>0</v>
      </c>
      <c r="CW19" t="n">
        <f>IF(OR(Personnes!$A19="",11&gt;Paramètres!$B$9),0,MAX(0,SUMIF($B$8:$B$247,Personnes!$A19,$BH$8:$BH$247)-'Planning par personne'!M19))</f>
        <v>0</v>
      </c>
      <c r="CX19" t="n">
        <f>IF(OR(Personnes!$A19="",12&gt;Paramètres!$B$9),0,MAX(0,SUMIF($B$8:$B$247,Personnes!$A19,$BI$8:$BI$247)-'Planning par personne'!N19))</f>
        <v>0</v>
      </c>
      <c r="CY19" t="n">
        <f>IF(OR(Personnes!$A19="",13&gt;Paramètres!$B$9),0,MAX(0,SUMIF($B$8:$B$247,Personnes!$A19,$BJ$8:$BJ$247)-'Planning par personne'!O19))</f>
        <v>0</v>
      </c>
      <c r="DJ19" t="n">
        <f>SUM(BM19:BY19)</f>
        <v>0</v>
      </c>
      <c r="DK19" t="n">
        <f>SUM(BZ19:CL19)</f>
        <v>0</v>
      </c>
      <c r="DL19" t="n">
        <f>SUM(CM19:CY19)</f>
        <v>0</v>
      </c>
      <c r="DM19" t="str">
        <f>IF(AND(Projets!A19&lt;&gt;"",Projets!G19="Engager"),DM18&amp;IF(DM18="","",", ")&amp;Projets!B19,DM18)</f>
        <v/>
      </c>
      <c r="DN19" t="str">
        <f>IF(AND(Projets!A19&lt;&gt;"",Projets!G19="Reporter"),DN18&amp;IF(DN18="","",", ")&amp;Projets!B19,DN18)</f>
        <v/>
      </c>
    </row>
    <row r="20">
      <c r="A20" t="n">
        <f>Charges!A20</f>
        <v>0</v>
      </c>
      <c r="B20" t="n">
        <f>Charges!C20</f>
        <v>0</v>
      </c>
      <c r="C20" t="str">
        <f>Charges!D20</f>
        <v/>
      </c>
      <c r="E20" t="n">
        <f>IF(1&lt;=Paramètres!$B$9,MAX(0,IFERROR(N(IF(ISNUMBER(Charges!F20),MAX(0,Charges!F20),IFERROR(VLOOKUP(Charges!F20,Paramètres!$A$15:$B$18,2,FALSE),0))),0)),0)</f>
        <v>0</v>
      </c>
      <c r="F20" t="n">
        <f>IF(2&lt;=Paramètres!$B$9,MAX(0,IFERROR(N(IF(ISNUMBER(Charges!G20),MAX(0,Charges!G20),IFERROR(VLOOKUP(Charges!G20,Paramètres!$A$15:$B$18,2,FALSE),0))),0)),0)</f>
        <v>0</v>
      </c>
      <c r="G20" t="n">
        <f>IF(3&lt;=Paramètres!$B$9,MAX(0,IFERROR(N(IF(ISNUMBER(Charges!H20),MAX(0,Charges!H20),IFERROR(VLOOKUP(Charges!H20,Paramètres!$A$15:$B$18,2,FALSE),0))),0)),0)</f>
        <v>0</v>
      </c>
      <c r="H20" t="n">
        <f>IF(4&lt;=Paramètres!$B$9,MAX(0,IFERROR(N(IF(ISNUMBER(Charges!I20),MAX(0,Charges!I20),IFERROR(VLOOKUP(Charges!I20,Paramètres!$A$15:$B$18,2,FALSE),0))),0)),0)</f>
        <v>0</v>
      </c>
      <c r="I20" t="n">
        <f>IF(5&lt;=Paramètres!$B$9,MAX(0,IFERROR(N(IF(ISNUMBER(Charges!J20),MAX(0,Charges!J20),IFERROR(VLOOKUP(Charges!J20,Paramètres!$A$15:$B$18,2,FALSE),0))),0)),0)</f>
        <v>0</v>
      </c>
      <c r="J20" t="n">
        <f>IF(6&lt;=Paramètres!$B$9,MAX(0,IFERROR(N(IF(ISNUMBER(Charges!K20),MAX(0,Charges!K20),IFERROR(VLOOKUP(Charges!K20,Paramètres!$A$15:$B$18,2,FALSE),0))),0)),0)</f>
        <v>0</v>
      </c>
      <c r="K20" t="n">
        <f>IF(7&lt;=Paramètres!$B$9,MAX(0,IFERROR(N(IF(ISNUMBER(Charges!L20),MAX(0,Charges!L20),IFERROR(VLOOKUP(Charges!L20,Paramètres!$A$15:$B$18,2,FALSE),0))),0)),0)</f>
        <v>0</v>
      </c>
      <c r="L20" t="n">
        <f>IF(8&lt;=Paramètres!$B$9,MAX(0,IFERROR(N(IF(ISNUMBER(Charges!M20),MAX(0,Charges!M20),IFERROR(VLOOKUP(Charges!M20,Paramètres!$A$15:$B$18,2,FALSE),0))),0)),0)</f>
        <v>0</v>
      </c>
      <c r="M20" t="n">
        <f>IF(9&lt;=Paramètres!$B$9,MAX(0,IFERROR(N(IF(ISNUMBER(Charges!N20),MAX(0,Charges!N20),IFERROR(VLOOKUP(Charges!N20,Paramètres!$A$15:$B$18,2,FALSE),0))),0)),0)</f>
        <v>0</v>
      </c>
      <c r="N20" t="n">
        <f>IF(10&lt;=Paramètres!$B$9,MAX(0,IFERROR(N(IF(ISNUMBER(Charges!O20),MAX(0,Charges!O20),IFERROR(VLOOKUP(Charges!O20,Paramètres!$A$15:$B$18,2,FALSE),0))),0)),0)</f>
        <v>0</v>
      </c>
      <c r="O20" t="n">
        <f>IF(11&lt;=Paramètres!$B$9,MAX(0,IFERROR(N(IF(ISNUMBER(Charges!P20),MAX(0,Charges!P20),IFERROR(VLOOKUP(Charges!P20,Paramètres!$A$15:$B$18,2,FALSE),0))),0)),0)</f>
        <v>0</v>
      </c>
      <c r="P20" t="n">
        <f>IF(12&lt;=Paramètres!$B$9,MAX(0,IFERROR(N(IF(ISNUMBER(Charges!Q20),MAX(0,Charges!Q20),IFERROR(VLOOKUP(Charges!Q20,Paramètres!$A$15:$B$18,2,FALSE),0))),0)),0)</f>
        <v>0</v>
      </c>
      <c r="Q20" t="n">
        <f>IF(13&lt;=Paramètres!$B$9,MAX(0,IFERROR(N(IF(ISNUMBER(Charges!R20),MAX(0,Charges!R20),IFERROR(VLOOKUP(Charges!R20,Paramètres!$A$15:$B$18,2,FALSE),0))),0)),0)</f>
        <v>0</v>
      </c>
      <c r="R20" t="n">
        <f>SUM(E20:Q20)</f>
        <v>0</v>
      </c>
      <c r="S20" t="n">
        <f>IF(IFERROR(VLOOKUP(A20,'Projets'!$A$8:$Z$67,7,FALSE),"")="Engager",1,0)</f>
        <v>0</v>
      </c>
      <c r="T20" t="n">
        <f>IF(OR(Charges!F20="",AND(ISNUMBER(Charges!F20),Charges!F20&gt;=0),Charges!F20="S",Charges!F20="M",Charges!F20="L",Charges!F20="XL"),0,1)+IF(OR(Charges!G20="",AND(ISNUMBER(Charges!G20),Charges!G20&gt;=0),Charges!G20="S",Charges!G20="M",Charges!G20="L",Charges!G20="XL"),0,1)+IF(OR(Charges!H20="",AND(ISNUMBER(Charges!H20),Charges!H20&gt;=0),Charges!H20="S",Charges!H20="M",Charges!H20="L",Charges!H20="XL"),0,1)+IF(OR(Charges!I20="",AND(ISNUMBER(Charges!I20),Charges!I20&gt;=0),Charges!I20="S",Charges!I20="M",Charges!I20="L",Charges!I20="XL"),0,1)+IF(OR(Charges!J20="",AND(ISNUMBER(Charges!J20),Charges!J20&gt;=0),Charges!J20="S",Charges!J20="M",Charges!J20="L",Charges!J20="XL"),0,1)+IF(OR(Charges!K20="",AND(ISNUMBER(Charges!K20),Charges!K20&gt;=0),Charges!K20="S",Charges!K20="M",Charges!K20="L",Charges!K20="XL"),0,1)+IF(OR(Charges!L20="",AND(ISNUMBER(Charges!L20),Charges!L20&gt;=0),Charges!L20="S",Charges!L20="M",Charges!L20="L",Charges!L20="XL"),0,1)+IF(OR(Charges!M20="",AND(ISNUMBER(Charges!M20),Charges!M20&gt;=0),Charges!M20="S",Charges!M20="M",Charges!M20="L",Charges!M20="XL"),0,1)+IF(OR(Charges!N20="",AND(ISNUMBER(Charges!N20),Charges!N20&gt;=0),Charges!N20="S",Charges!N20="M",Charges!N20="L",Charges!N20="XL"),0,1)+IF(OR(Charges!O20="",AND(ISNUMBER(Charges!O20),Charges!O20&gt;=0),Charges!O20="S",Charges!O20="M",Charges!O20="L",Charges!O20="XL"),0,1)+IF(OR(Charges!P20="",AND(ISNUMBER(Charges!P20),Charges!P20&gt;=0),Charges!P20="S",Charges!P20="M",Charges!P20="L",Charges!P20="XL"),0,1)+IF(OR(Charges!Q20="",AND(ISNUMBER(Charges!Q20),Charges!Q20&gt;=0),Charges!Q20="S",Charges!Q20="M",Charges!Q20="L",Charges!Q20="XL"),0,1)+IF(OR(Charges!R20="",AND(ISNUMBER(Charges!R20),Charges!R20&gt;=0),Charges!R20="S",Charges!R20="M",Charges!R20="L",Charges!R20="XL"),0,1)</f>
        <v>0</v>
      </c>
      <c r="U20" t="n">
        <f>IF(AND(1&gt;Paramètres!$B$9,Charges!F20&lt;&gt;"",Charges!F20&lt;&gt;0),1,0)+IF(AND(2&gt;Paramètres!$B$9,Charges!G20&lt;&gt;"",Charges!G20&lt;&gt;0),1,0)+IF(AND(3&gt;Paramètres!$B$9,Charges!H20&lt;&gt;"",Charges!H20&lt;&gt;0),1,0)+IF(AND(4&gt;Paramètres!$B$9,Charges!I20&lt;&gt;"",Charges!I20&lt;&gt;0),1,0)+IF(AND(5&gt;Paramètres!$B$9,Charges!J20&lt;&gt;"",Charges!J20&lt;&gt;0),1,0)+IF(AND(6&gt;Paramètres!$B$9,Charges!K20&lt;&gt;"",Charges!K20&lt;&gt;0),1,0)+IF(AND(7&gt;Paramètres!$B$9,Charges!L20&lt;&gt;"",Charges!L20&lt;&gt;0),1,0)+IF(AND(8&gt;Paramètres!$B$9,Charges!M20&lt;&gt;"",Charges!M20&lt;&gt;0),1,0)+IF(AND(9&gt;Paramètres!$B$9,Charges!N20&lt;&gt;"",Charges!N20&lt;&gt;0),1,0)+IF(AND(10&gt;Paramètres!$B$9,Charges!O20&lt;&gt;"",Charges!O20&lt;&gt;0),1,0)+IF(AND(11&gt;Paramètres!$B$9,Charges!P20&lt;&gt;"",Charges!P20&lt;&gt;0),1,0)+IF(AND(12&gt;Paramètres!$B$9,Charges!Q20&lt;&gt;"",Charges!Q20&lt;&gt;0),1,0)+IF(AND(13&gt;Paramètres!$B$9,Charges!R20&lt;&gt;"",Charges!R20&lt;&gt;0),1,0)</f>
        <v>0</v>
      </c>
      <c r="V20" t="n">
        <f>IF(IFERROR(VLOOKUP(A20,'Projets'!$A$8:$Z$67,5,FALSE),"")="Engager",1,0)</f>
        <v>0</v>
      </c>
      <c r="W20" t="n">
        <f>IF(IFERROR(VLOOKUP(A20,'Projets'!$A$8:$Z$67,6,FALSE),"")="Engager",1,0)</f>
        <v>0</v>
      </c>
      <c r="X20" t="n">
        <f>E20*S20</f>
        <v>0</v>
      </c>
      <c r="Y20" t="n">
        <f>F20*S20</f>
        <v>0</v>
      </c>
      <c r="Z20" t="n">
        <f>G20*S20</f>
        <v>0</v>
      </c>
      <c r="AA20" t="n">
        <f>H20*S20</f>
        <v>0</v>
      </c>
      <c r="AB20" t="n">
        <f>I20*S20</f>
        <v>0</v>
      </c>
      <c r="AC20" t="n">
        <f>J20*S20</f>
        <v>0</v>
      </c>
      <c r="AD20" t="n">
        <f>K20*S20</f>
        <v>0</v>
      </c>
      <c r="AE20" t="n">
        <f>L20*S20</f>
        <v>0</v>
      </c>
      <c r="AF20" t="n">
        <f>M20*S20</f>
        <v>0</v>
      </c>
      <c r="AG20" t="n">
        <f>N20*S20</f>
        <v>0</v>
      </c>
      <c r="AH20" t="n">
        <f>O20*S20</f>
        <v>0</v>
      </c>
      <c r="AI20" t="n">
        <f>P20*S20</f>
        <v>0</v>
      </c>
      <c r="AJ20" t="n">
        <f>Q20*S20</f>
        <v>0</v>
      </c>
      <c r="AK20" t="n">
        <f>E20*V20</f>
        <v>0</v>
      </c>
      <c r="AL20" t="n">
        <f>F20*V20</f>
        <v>0</v>
      </c>
      <c r="AM20" t="n">
        <f>G20*V20</f>
        <v>0</v>
      </c>
      <c r="AN20" t="n">
        <f>H20*V20</f>
        <v>0</v>
      </c>
      <c r="AO20" t="n">
        <f>I20*V20</f>
        <v>0</v>
      </c>
      <c r="AP20" t="n">
        <f>J20*V20</f>
        <v>0</v>
      </c>
      <c r="AQ20" t="n">
        <f>K20*V20</f>
        <v>0</v>
      </c>
      <c r="AR20" t="n">
        <f>L20*V20</f>
        <v>0</v>
      </c>
      <c r="AS20" t="n">
        <f>M20*V20</f>
        <v>0</v>
      </c>
      <c r="AT20" t="n">
        <f>N20*V20</f>
        <v>0</v>
      </c>
      <c r="AU20" t="n">
        <f>O20*V20</f>
        <v>0</v>
      </c>
      <c r="AV20" t="n">
        <f>P20*V20</f>
        <v>0</v>
      </c>
      <c r="AW20" t="n">
        <f>Q20*V20</f>
        <v>0</v>
      </c>
      <c r="AX20" t="n">
        <f>E20*W20</f>
        <v>0</v>
      </c>
      <c r="AY20" t="n">
        <f>F20*W20</f>
        <v>0</v>
      </c>
      <c r="AZ20" t="n">
        <f>G20*W20</f>
        <v>0</v>
      </c>
      <c r="BA20" t="n">
        <f>H20*W20</f>
        <v>0</v>
      </c>
      <c r="BB20" t="n">
        <f>I20*W20</f>
        <v>0</v>
      </c>
      <c r="BC20" t="n">
        <f>J20*W20</f>
        <v>0</v>
      </c>
      <c r="BD20" t="n">
        <f>K20*W20</f>
        <v>0</v>
      </c>
      <c r="BE20" t="n">
        <f>L20*W20</f>
        <v>0</v>
      </c>
      <c r="BF20" t="n">
        <f>M20*W20</f>
        <v>0</v>
      </c>
      <c r="BG20" t="n">
        <f>N20*W20</f>
        <v>0</v>
      </c>
      <c r="BH20" t="n">
        <f>O20*W20</f>
        <v>0</v>
      </c>
      <c r="BI20" t="n">
        <f>P20*W20</f>
        <v>0</v>
      </c>
      <c r="BJ20" t="n">
        <f>Q20*W20</f>
        <v>0</v>
      </c>
      <c r="BM20" t="n">
        <f>IF(OR(Personnes!$A20="",1&gt;Paramètres!$B$9),0,MAX(0,SUMIF($B$8:$B$247,Personnes!$A20,$E$8:$E$247)-'Planning par personne'!C20))</f>
        <v>0</v>
      </c>
      <c r="BN20" t="n">
        <f>IF(OR(Personnes!$A20="",2&gt;Paramètres!$B$9),0,MAX(0,SUMIF($B$8:$B$247,Personnes!$A20,$F$8:$F$247)-'Planning par personne'!D20))</f>
        <v>0</v>
      </c>
      <c r="BO20" t="n">
        <f>IF(OR(Personnes!$A20="",3&gt;Paramètres!$B$9),0,MAX(0,SUMIF($B$8:$B$247,Personnes!$A20,$G$8:$G$247)-'Planning par personne'!E20))</f>
        <v>0</v>
      </c>
      <c r="BP20" t="n">
        <f>IF(OR(Personnes!$A20="",4&gt;Paramètres!$B$9),0,MAX(0,SUMIF($B$8:$B$247,Personnes!$A20,$H$8:$H$247)-'Planning par personne'!F20))</f>
        <v>0</v>
      </c>
      <c r="BQ20" t="n">
        <f>IF(OR(Personnes!$A20="",5&gt;Paramètres!$B$9),0,MAX(0,SUMIF($B$8:$B$247,Personnes!$A20,$I$8:$I$247)-'Planning par personne'!G20))</f>
        <v>0</v>
      </c>
      <c r="BR20" t="n">
        <f>IF(OR(Personnes!$A20="",6&gt;Paramètres!$B$9),0,MAX(0,SUMIF($B$8:$B$247,Personnes!$A20,$J$8:$J$247)-'Planning par personne'!H20))</f>
        <v>0</v>
      </c>
      <c r="BS20" t="n">
        <f>IF(OR(Personnes!$A20="",7&gt;Paramètres!$B$9),0,MAX(0,SUMIF($B$8:$B$247,Personnes!$A20,$K$8:$K$247)-'Planning par personne'!I20))</f>
        <v>0</v>
      </c>
      <c r="BT20" t="n">
        <f>IF(OR(Personnes!$A20="",8&gt;Paramètres!$B$9),0,MAX(0,SUMIF($B$8:$B$247,Personnes!$A20,$L$8:$L$247)-'Planning par personne'!J20))</f>
        <v>0</v>
      </c>
      <c r="BU20" t="n">
        <f>IF(OR(Personnes!$A20="",9&gt;Paramètres!$B$9),0,MAX(0,SUMIF($B$8:$B$247,Personnes!$A20,$M$8:$M$247)-'Planning par personne'!K20))</f>
        <v>0</v>
      </c>
      <c r="BV20" t="n">
        <f>IF(OR(Personnes!$A20="",10&gt;Paramètres!$B$9),0,MAX(0,SUMIF($B$8:$B$247,Personnes!$A20,$N$8:$N$247)-'Planning par personne'!L20))</f>
        <v>0</v>
      </c>
      <c r="BW20" t="n">
        <f>IF(OR(Personnes!$A20="",11&gt;Paramètres!$B$9),0,MAX(0,SUMIF($B$8:$B$247,Personnes!$A20,$O$8:$O$247)-'Planning par personne'!M20))</f>
        <v>0</v>
      </c>
      <c r="BX20" t="n">
        <f>IF(OR(Personnes!$A20="",12&gt;Paramètres!$B$9),0,MAX(0,SUMIF($B$8:$B$247,Personnes!$A20,$P$8:$P$247)-'Planning par personne'!N20))</f>
        <v>0</v>
      </c>
      <c r="BY20" t="n">
        <f>IF(OR(Personnes!$A20="",13&gt;Paramètres!$B$9),0,MAX(0,SUMIF($B$8:$B$247,Personnes!$A20,$Q$8:$Q$247)-'Planning par personne'!O20))</f>
        <v>0</v>
      </c>
      <c r="BZ20" t="n">
        <f>IF(OR(Personnes!$A20="",1&gt;Paramètres!$B$9),0,MAX(0,SUMIF($B$8:$B$247,Personnes!$A20,$AK$8:$AK$247)-'Planning par personne'!C20))</f>
        <v>0</v>
      </c>
      <c r="CA20" t="n">
        <f>IF(OR(Personnes!$A20="",2&gt;Paramètres!$B$9),0,MAX(0,SUMIF($B$8:$B$247,Personnes!$A20,$AL$8:$AL$247)-'Planning par personne'!D20))</f>
        <v>0</v>
      </c>
      <c r="CB20" t="n">
        <f>IF(OR(Personnes!$A20="",3&gt;Paramètres!$B$9),0,MAX(0,SUMIF($B$8:$B$247,Personnes!$A20,$AM$8:$AM$247)-'Planning par personne'!E20))</f>
        <v>0</v>
      </c>
      <c r="CC20" t="n">
        <f>IF(OR(Personnes!$A20="",4&gt;Paramètres!$B$9),0,MAX(0,SUMIF($B$8:$B$247,Personnes!$A20,$AN$8:$AN$247)-'Planning par personne'!F20))</f>
        <v>0</v>
      </c>
      <c r="CD20" t="n">
        <f>IF(OR(Personnes!$A20="",5&gt;Paramètres!$B$9),0,MAX(0,SUMIF($B$8:$B$247,Personnes!$A20,$AO$8:$AO$247)-'Planning par personne'!G20))</f>
        <v>0</v>
      </c>
      <c r="CE20" t="n">
        <f>IF(OR(Personnes!$A20="",6&gt;Paramètres!$B$9),0,MAX(0,SUMIF($B$8:$B$247,Personnes!$A20,$AP$8:$AP$247)-'Planning par personne'!H20))</f>
        <v>0</v>
      </c>
      <c r="CF20" t="n">
        <f>IF(OR(Personnes!$A20="",7&gt;Paramètres!$B$9),0,MAX(0,SUMIF($B$8:$B$247,Personnes!$A20,$AQ$8:$AQ$247)-'Planning par personne'!I20))</f>
        <v>0</v>
      </c>
      <c r="CG20" t="n">
        <f>IF(OR(Personnes!$A20="",8&gt;Paramètres!$B$9),0,MAX(0,SUMIF($B$8:$B$247,Personnes!$A20,$AR$8:$AR$247)-'Planning par personne'!J20))</f>
        <v>0</v>
      </c>
      <c r="CH20" t="n">
        <f>IF(OR(Personnes!$A20="",9&gt;Paramètres!$B$9),0,MAX(0,SUMIF($B$8:$B$247,Personnes!$A20,$AS$8:$AS$247)-'Planning par personne'!K20))</f>
        <v>0</v>
      </c>
      <c r="CI20" t="n">
        <f>IF(OR(Personnes!$A20="",10&gt;Paramètres!$B$9),0,MAX(0,SUMIF($B$8:$B$247,Personnes!$A20,$AT$8:$AT$247)-'Planning par personne'!L20))</f>
        <v>0</v>
      </c>
      <c r="CJ20" t="n">
        <f>IF(OR(Personnes!$A20="",11&gt;Paramètres!$B$9),0,MAX(0,SUMIF($B$8:$B$247,Personnes!$A20,$AU$8:$AU$247)-'Planning par personne'!M20))</f>
        <v>0</v>
      </c>
      <c r="CK20" t="n">
        <f>IF(OR(Personnes!$A20="",12&gt;Paramètres!$B$9),0,MAX(0,SUMIF($B$8:$B$247,Personnes!$A20,$AV$8:$AV$247)-'Planning par personne'!N20))</f>
        <v>0</v>
      </c>
      <c r="CL20" t="n">
        <f>IF(OR(Personnes!$A20="",13&gt;Paramètres!$B$9),0,MAX(0,SUMIF($B$8:$B$247,Personnes!$A20,$AW$8:$AW$247)-'Planning par personne'!O20))</f>
        <v>0</v>
      </c>
      <c r="CM20" t="n">
        <f>IF(OR(Personnes!$A20="",1&gt;Paramètres!$B$9),0,MAX(0,SUMIF($B$8:$B$247,Personnes!$A20,$AX$8:$AX$247)-'Planning par personne'!C20))</f>
        <v>0</v>
      </c>
      <c r="CN20" t="n">
        <f>IF(OR(Personnes!$A20="",2&gt;Paramètres!$B$9),0,MAX(0,SUMIF($B$8:$B$247,Personnes!$A20,$AY$8:$AY$247)-'Planning par personne'!D20))</f>
        <v>0</v>
      </c>
      <c r="CO20" t="n">
        <f>IF(OR(Personnes!$A20="",3&gt;Paramètres!$B$9),0,MAX(0,SUMIF($B$8:$B$247,Personnes!$A20,$AZ$8:$AZ$247)-'Planning par personne'!E20))</f>
        <v>0</v>
      </c>
      <c r="CP20" t="n">
        <f>IF(OR(Personnes!$A20="",4&gt;Paramètres!$B$9),0,MAX(0,SUMIF($B$8:$B$247,Personnes!$A20,$BA$8:$BA$247)-'Planning par personne'!F20))</f>
        <v>0</v>
      </c>
      <c r="CQ20" t="n">
        <f>IF(OR(Personnes!$A20="",5&gt;Paramètres!$B$9),0,MAX(0,SUMIF($B$8:$B$247,Personnes!$A20,$BB$8:$BB$247)-'Planning par personne'!G20))</f>
        <v>0</v>
      </c>
      <c r="CR20" t="n">
        <f>IF(OR(Personnes!$A20="",6&gt;Paramètres!$B$9),0,MAX(0,SUMIF($B$8:$B$247,Personnes!$A20,$BC$8:$BC$247)-'Planning par personne'!H20))</f>
        <v>0</v>
      </c>
      <c r="CS20" t="n">
        <f>IF(OR(Personnes!$A20="",7&gt;Paramètres!$B$9),0,MAX(0,SUMIF($B$8:$B$247,Personnes!$A20,$BD$8:$BD$247)-'Planning par personne'!I20))</f>
        <v>0</v>
      </c>
      <c r="CT20" t="n">
        <f>IF(OR(Personnes!$A20="",8&gt;Paramètres!$B$9),0,MAX(0,SUMIF($B$8:$B$247,Personnes!$A20,$BE$8:$BE$247)-'Planning par personne'!J20))</f>
        <v>0</v>
      </c>
      <c r="CU20" t="n">
        <f>IF(OR(Personnes!$A20="",9&gt;Paramètres!$B$9),0,MAX(0,SUMIF($B$8:$B$247,Personnes!$A20,$BF$8:$BF$247)-'Planning par personne'!K20))</f>
        <v>0</v>
      </c>
      <c r="CV20" t="n">
        <f>IF(OR(Personnes!$A20="",10&gt;Paramètres!$B$9),0,MAX(0,SUMIF($B$8:$B$247,Personnes!$A20,$BG$8:$BG$247)-'Planning par personne'!L20))</f>
        <v>0</v>
      </c>
      <c r="CW20" t="n">
        <f>IF(OR(Personnes!$A20="",11&gt;Paramètres!$B$9),0,MAX(0,SUMIF($B$8:$B$247,Personnes!$A20,$BH$8:$BH$247)-'Planning par personne'!M20))</f>
        <v>0</v>
      </c>
      <c r="CX20" t="n">
        <f>IF(OR(Personnes!$A20="",12&gt;Paramètres!$B$9),0,MAX(0,SUMIF($B$8:$B$247,Personnes!$A20,$BI$8:$BI$247)-'Planning par personne'!N20))</f>
        <v>0</v>
      </c>
      <c r="CY20" t="n">
        <f>IF(OR(Personnes!$A20="",13&gt;Paramètres!$B$9),0,MAX(0,SUMIF($B$8:$B$247,Personnes!$A20,$BJ$8:$BJ$247)-'Planning par personne'!O20))</f>
        <v>0</v>
      </c>
      <c r="DJ20" t="n">
        <f>SUM(BM20:BY20)</f>
        <v>0</v>
      </c>
      <c r="DK20" t="n">
        <f>SUM(BZ20:CL20)</f>
        <v>0</v>
      </c>
      <c r="DL20" t="n">
        <f>SUM(CM20:CY20)</f>
        <v>0</v>
      </c>
      <c r="DM20" t="str">
        <f>IF(AND(Projets!A20&lt;&gt;"",Projets!G20="Engager"),DM19&amp;IF(DM19="","",", ")&amp;Projets!B20,DM19)</f>
        <v/>
      </c>
      <c r="DN20" t="str">
        <f>IF(AND(Projets!A20&lt;&gt;"",Projets!G20="Reporter"),DN19&amp;IF(DN19="","",", ")&amp;Projets!B20,DN19)</f>
        <v/>
      </c>
    </row>
    <row r="21">
      <c r="A21" t="n">
        <f>Charges!A21</f>
        <v>0</v>
      </c>
      <c r="B21" t="n">
        <f>Charges!C21</f>
        <v>0</v>
      </c>
      <c r="C21" t="str">
        <f>Charges!D21</f>
        <v/>
      </c>
      <c r="E21" t="n">
        <f>IF(1&lt;=Paramètres!$B$9,MAX(0,IFERROR(N(IF(ISNUMBER(Charges!F21),MAX(0,Charges!F21),IFERROR(VLOOKUP(Charges!F21,Paramètres!$A$15:$B$18,2,FALSE),0))),0)),0)</f>
        <v>0</v>
      </c>
      <c r="F21" t="n">
        <f>IF(2&lt;=Paramètres!$B$9,MAX(0,IFERROR(N(IF(ISNUMBER(Charges!G21),MAX(0,Charges!G21),IFERROR(VLOOKUP(Charges!G21,Paramètres!$A$15:$B$18,2,FALSE),0))),0)),0)</f>
        <v>0</v>
      </c>
      <c r="G21" t="n">
        <f>IF(3&lt;=Paramètres!$B$9,MAX(0,IFERROR(N(IF(ISNUMBER(Charges!H21),MAX(0,Charges!H21),IFERROR(VLOOKUP(Charges!H21,Paramètres!$A$15:$B$18,2,FALSE),0))),0)),0)</f>
        <v>0</v>
      </c>
      <c r="H21" t="n">
        <f>IF(4&lt;=Paramètres!$B$9,MAX(0,IFERROR(N(IF(ISNUMBER(Charges!I21),MAX(0,Charges!I21),IFERROR(VLOOKUP(Charges!I21,Paramètres!$A$15:$B$18,2,FALSE),0))),0)),0)</f>
        <v>0</v>
      </c>
      <c r="I21" t="n">
        <f>IF(5&lt;=Paramètres!$B$9,MAX(0,IFERROR(N(IF(ISNUMBER(Charges!J21),MAX(0,Charges!J21),IFERROR(VLOOKUP(Charges!J21,Paramètres!$A$15:$B$18,2,FALSE),0))),0)),0)</f>
        <v>0</v>
      </c>
      <c r="J21" t="n">
        <f>IF(6&lt;=Paramètres!$B$9,MAX(0,IFERROR(N(IF(ISNUMBER(Charges!K21),MAX(0,Charges!K21),IFERROR(VLOOKUP(Charges!K21,Paramètres!$A$15:$B$18,2,FALSE),0))),0)),0)</f>
        <v>0</v>
      </c>
      <c r="K21" t="n">
        <f>IF(7&lt;=Paramètres!$B$9,MAX(0,IFERROR(N(IF(ISNUMBER(Charges!L21),MAX(0,Charges!L21),IFERROR(VLOOKUP(Charges!L21,Paramètres!$A$15:$B$18,2,FALSE),0))),0)),0)</f>
        <v>0</v>
      </c>
      <c r="L21" t="n">
        <f>IF(8&lt;=Paramètres!$B$9,MAX(0,IFERROR(N(IF(ISNUMBER(Charges!M21),MAX(0,Charges!M21),IFERROR(VLOOKUP(Charges!M21,Paramètres!$A$15:$B$18,2,FALSE),0))),0)),0)</f>
        <v>0</v>
      </c>
      <c r="M21" t="n">
        <f>IF(9&lt;=Paramètres!$B$9,MAX(0,IFERROR(N(IF(ISNUMBER(Charges!N21),MAX(0,Charges!N21),IFERROR(VLOOKUP(Charges!N21,Paramètres!$A$15:$B$18,2,FALSE),0))),0)),0)</f>
        <v>0</v>
      </c>
      <c r="N21" t="n">
        <f>IF(10&lt;=Paramètres!$B$9,MAX(0,IFERROR(N(IF(ISNUMBER(Charges!O21),MAX(0,Charges!O21),IFERROR(VLOOKUP(Charges!O21,Paramètres!$A$15:$B$18,2,FALSE),0))),0)),0)</f>
        <v>0</v>
      </c>
      <c r="O21" t="n">
        <f>IF(11&lt;=Paramètres!$B$9,MAX(0,IFERROR(N(IF(ISNUMBER(Charges!P21),MAX(0,Charges!P21),IFERROR(VLOOKUP(Charges!P21,Paramètres!$A$15:$B$18,2,FALSE),0))),0)),0)</f>
        <v>0</v>
      </c>
      <c r="P21" t="n">
        <f>IF(12&lt;=Paramètres!$B$9,MAX(0,IFERROR(N(IF(ISNUMBER(Charges!Q21),MAX(0,Charges!Q21),IFERROR(VLOOKUP(Charges!Q21,Paramètres!$A$15:$B$18,2,FALSE),0))),0)),0)</f>
        <v>0</v>
      </c>
      <c r="Q21" t="n">
        <f>IF(13&lt;=Paramètres!$B$9,MAX(0,IFERROR(N(IF(ISNUMBER(Charges!R21),MAX(0,Charges!R21),IFERROR(VLOOKUP(Charges!R21,Paramètres!$A$15:$B$18,2,FALSE),0))),0)),0)</f>
        <v>0</v>
      </c>
      <c r="R21" t="n">
        <f>SUM(E21:Q21)</f>
        <v>0</v>
      </c>
      <c r="S21" t="n">
        <f>IF(IFERROR(VLOOKUP(A21,'Projets'!$A$8:$Z$67,7,FALSE),"")="Engager",1,0)</f>
        <v>0</v>
      </c>
      <c r="T21" t="n">
        <f>IF(OR(Charges!F21="",AND(ISNUMBER(Charges!F21),Charges!F21&gt;=0),Charges!F21="S",Charges!F21="M",Charges!F21="L",Charges!F21="XL"),0,1)+IF(OR(Charges!G21="",AND(ISNUMBER(Charges!G21),Charges!G21&gt;=0),Charges!G21="S",Charges!G21="M",Charges!G21="L",Charges!G21="XL"),0,1)+IF(OR(Charges!H21="",AND(ISNUMBER(Charges!H21),Charges!H21&gt;=0),Charges!H21="S",Charges!H21="M",Charges!H21="L",Charges!H21="XL"),0,1)+IF(OR(Charges!I21="",AND(ISNUMBER(Charges!I21),Charges!I21&gt;=0),Charges!I21="S",Charges!I21="M",Charges!I21="L",Charges!I21="XL"),0,1)+IF(OR(Charges!J21="",AND(ISNUMBER(Charges!J21),Charges!J21&gt;=0),Charges!J21="S",Charges!J21="M",Charges!J21="L",Charges!J21="XL"),0,1)+IF(OR(Charges!K21="",AND(ISNUMBER(Charges!K21),Charges!K21&gt;=0),Charges!K21="S",Charges!K21="M",Charges!K21="L",Charges!K21="XL"),0,1)+IF(OR(Charges!L21="",AND(ISNUMBER(Charges!L21),Charges!L21&gt;=0),Charges!L21="S",Charges!L21="M",Charges!L21="L",Charges!L21="XL"),0,1)+IF(OR(Charges!M21="",AND(ISNUMBER(Charges!M21),Charges!M21&gt;=0),Charges!M21="S",Charges!M21="M",Charges!M21="L",Charges!M21="XL"),0,1)+IF(OR(Charges!N21="",AND(ISNUMBER(Charges!N21),Charges!N21&gt;=0),Charges!N21="S",Charges!N21="M",Charges!N21="L",Charges!N21="XL"),0,1)+IF(OR(Charges!O21="",AND(ISNUMBER(Charges!O21),Charges!O21&gt;=0),Charges!O21="S",Charges!O21="M",Charges!O21="L",Charges!O21="XL"),0,1)+IF(OR(Charges!P21="",AND(ISNUMBER(Charges!P21),Charges!P21&gt;=0),Charges!P21="S",Charges!P21="M",Charges!P21="L",Charges!P21="XL"),0,1)+IF(OR(Charges!Q21="",AND(ISNUMBER(Charges!Q21),Charges!Q21&gt;=0),Charges!Q21="S",Charges!Q21="M",Charges!Q21="L",Charges!Q21="XL"),0,1)+IF(OR(Charges!R21="",AND(ISNUMBER(Charges!R21),Charges!R21&gt;=0),Charges!R21="S",Charges!R21="M",Charges!R21="L",Charges!R21="XL"),0,1)</f>
        <v>0</v>
      </c>
      <c r="U21" t="n">
        <f>IF(AND(1&gt;Paramètres!$B$9,Charges!F21&lt;&gt;"",Charges!F21&lt;&gt;0),1,0)+IF(AND(2&gt;Paramètres!$B$9,Charges!G21&lt;&gt;"",Charges!G21&lt;&gt;0),1,0)+IF(AND(3&gt;Paramètres!$B$9,Charges!H21&lt;&gt;"",Charges!H21&lt;&gt;0),1,0)+IF(AND(4&gt;Paramètres!$B$9,Charges!I21&lt;&gt;"",Charges!I21&lt;&gt;0),1,0)+IF(AND(5&gt;Paramètres!$B$9,Charges!J21&lt;&gt;"",Charges!J21&lt;&gt;0),1,0)+IF(AND(6&gt;Paramètres!$B$9,Charges!K21&lt;&gt;"",Charges!K21&lt;&gt;0),1,0)+IF(AND(7&gt;Paramètres!$B$9,Charges!L21&lt;&gt;"",Charges!L21&lt;&gt;0),1,0)+IF(AND(8&gt;Paramètres!$B$9,Charges!M21&lt;&gt;"",Charges!M21&lt;&gt;0),1,0)+IF(AND(9&gt;Paramètres!$B$9,Charges!N21&lt;&gt;"",Charges!N21&lt;&gt;0),1,0)+IF(AND(10&gt;Paramètres!$B$9,Charges!O21&lt;&gt;"",Charges!O21&lt;&gt;0),1,0)+IF(AND(11&gt;Paramètres!$B$9,Charges!P21&lt;&gt;"",Charges!P21&lt;&gt;0),1,0)+IF(AND(12&gt;Paramètres!$B$9,Charges!Q21&lt;&gt;"",Charges!Q21&lt;&gt;0),1,0)+IF(AND(13&gt;Paramètres!$B$9,Charges!R21&lt;&gt;"",Charges!R21&lt;&gt;0),1,0)</f>
        <v>0</v>
      </c>
      <c r="V21" t="n">
        <f>IF(IFERROR(VLOOKUP(A21,'Projets'!$A$8:$Z$67,5,FALSE),"")="Engager",1,0)</f>
        <v>0</v>
      </c>
      <c r="W21" t="n">
        <f>IF(IFERROR(VLOOKUP(A21,'Projets'!$A$8:$Z$67,6,FALSE),"")="Engager",1,0)</f>
        <v>0</v>
      </c>
      <c r="X21" t="n">
        <f>E21*S21</f>
        <v>0</v>
      </c>
      <c r="Y21" t="n">
        <f>F21*S21</f>
        <v>0</v>
      </c>
      <c r="Z21" t="n">
        <f>G21*S21</f>
        <v>0</v>
      </c>
      <c r="AA21" t="n">
        <f>H21*S21</f>
        <v>0</v>
      </c>
      <c r="AB21" t="n">
        <f>I21*S21</f>
        <v>0</v>
      </c>
      <c r="AC21" t="n">
        <f>J21*S21</f>
        <v>0</v>
      </c>
      <c r="AD21" t="n">
        <f>K21*S21</f>
        <v>0</v>
      </c>
      <c r="AE21" t="n">
        <f>L21*S21</f>
        <v>0</v>
      </c>
      <c r="AF21" t="n">
        <f>M21*S21</f>
        <v>0</v>
      </c>
      <c r="AG21" t="n">
        <f>N21*S21</f>
        <v>0</v>
      </c>
      <c r="AH21" t="n">
        <f>O21*S21</f>
        <v>0</v>
      </c>
      <c r="AI21" t="n">
        <f>P21*S21</f>
        <v>0</v>
      </c>
      <c r="AJ21" t="n">
        <f>Q21*S21</f>
        <v>0</v>
      </c>
      <c r="AK21" t="n">
        <f>E21*V21</f>
        <v>0</v>
      </c>
      <c r="AL21" t="n">
        <f>F21*V21</f>
        <v>0</v>
      </c>
      <c r="AM21" t="n">
        <f>G21*V21</f>
        <v>0</v>
      </c>
      <c r="AN21" t="n">
        <f>H21*V21</f>
        <v>0</v>
      </c>
      <c r="AO21" t="n">
        <f>I21*V21</f>
        <v>0</v>
      </c>
      <c r="AP21" t="n">
        <f>J21*V21</f>
        <v>0</v>
      </c>
      <c r="AQ21" t="n">
        <f>K21*V21</f>
        <v>0</v>
      </c>
      <c r="AR21" t="n">
        <f>L21*V21</f>
        <v>0</v>
      </c>
      <c r="AS21" t="n">
        <f>M21*V21</f>
        <v>0</v>
      </c>
      <c r="AT21" t="n">
        <f>N21*V21</f>
        <v>0</v>
      </c>
      <c r="AU21" t="n">
        <f>O21*V21</f>
        <v>0</v>
      </c>
      <c r="AV21" t="n">
        <f>P21*V21</f>
        <v>0</v>
      </c>
      <c r="AW21" t="n">
        <f>Q21*V21</f>
        <v>0</v>
      </c>
      <c r="AX21" t="n">
        <f>E21*W21</f>
        <v>0</v>
      </c>
      <c r="AY21" t="n">
        <f>F21*W21</f>
        <v>0</v>
      </c>
      <c r="AZ21" t="n">
        <f>G21*W21</f>
        <v>0</v>
      </c>
      <c r="BA21" t="n">
        <f>H21*W21</f>
        <v>0</v>
      </c>
      <c r="BB21" t="n">
        <f>I21*W21</f>
        <v>0</v>
      </c>
      <c r="BC21" t="n">
        <f>J21*W21</f>
        <v>0</v>
      </c>
      <c r="BD21" t="n">
        <f>K21*W21</f>
        <v>0</v>
      </c>
      <c r="BE21" t="n">
        <f>L21*W21</f>
        <v>0</v>
      </c>
      <c r="BF21" t="n">
        <f>M21*W21</f>
        <v>0</v>
      </c>
      <c r="BG21" t="n">
        <f>N21*W21</f>
        <v>0</v>
      </c>
      <c r="BH21" t="n">
        <f>O21*W21</f>
        <v>0</v>
      </c>
      <c r="BI21" t="n">
        <f>P21*W21</f>
        <v>0</v>
      </c>
      <c r="BJ21" t="n">
        <f>Q21*W21</f>
        <v>0</v>
      </c>
      <c r="BM21" t="n">
        <f>IF(OR(Personnes!$A21="",1&gt;Paramètres!$B$9),0,MAX(0,SUMIF($B$8:$B$247,Personnes!$A21,$E$8:$E$247)-'Planning par personne'!C21))</f>
        <v>0</v>
      </c>
      <c r="BN21" t="n">
        <f>IF(OR(Personnes!$A21="",2&gt;Paramètres!$B$9),0,MAX(0,SUMIF($B$8:$B$247,Personnes!$A21,$F$8:$F$247)-'Planning par personne'!D21))</f>
        <v>0</v>
      </c>
      <c r="BO21" t="n">
        <f>IF(OR(Personnes!$A21="",3&gt;Paramètres!$B$9),0,MAX(0,SUMIF($B$8:$B$247,Personnes!$A21,$G$8:$G$247)-'Planning par personne'!E21))</f>
        <v>0</v>
      </c>
      <c r="BP21" t="n">
        <f>IF(OR(Personnes!$A21="",4&gt;Paramètres!$B$9),0,MAX(0,SUMIF($B$8:$B$247,Personnes!$A21,$H$8:$H$247)-'Planning par personne'!F21))</f>
        <v>0</v>
      </c>
      <c r="BQ21" t="n">
        <f>IF(OR(Personnes!$A21="",5&gt;Paramètres!$B$9),0,MAX(0,SUMIF($B$8:$B$247,Personnes!$A21,$I$8:$I$247)-'Planning par personne'!G21))</f>
        <v>0</v>
      </c>
      <c r="BR21" t="n">
        <f>IF(OR(Personnes!$A21="",6&gt;Paramètres!$B$9),0,MAX(0,SUMIF($B$8:$B$247,Personnes!$A21,$J$8:$J$247)-'Planning par personne'!H21))</f>
        <v>0</v>
      </c>
      <c r="BS21" t="n">
        <f>IF(OR(Personnes!$A21="",7&gt;Paramètres!$B$9),0,MAX(0,SUMIF($B$8:$B$247,Personnes!$A21,$K$8:$K$247)-'Planning par personne'!I21))</f>
        <v>0</v>
      </c>
      <c r="BT21" t="n">
        <f>IF(OR(Personnes!$A21="",8&gt;Paramètres!$B$9),0,MAX(0,SUMIF($B$8:$B$247,Personnes!$A21,$L$8:$L$247)-'Planning par personne'!J21))</f>
        <v>0</v>
      </c>
      <c r="BU21" t="n">
        <f>IF(OR(Personnes!$A21="",9&gt;Paramètres!$B$9),0,MAX(0,SUMIF($B$8:$B$247,Personnes!$A21,$M$8:$M$247)-'Planning par personne'!K21))</f>
        <v>0</v>
      </c>
      <c r="BV21" t="n">
        <f>IF(OR(Personnes!$A21="",10&gt;Paramètres!$B$9),0,MAX(0,SUMIF($B$8:$B$247,Personnes!$A21,$N$8:$N$247)-'Planning par personne'!L21))</f>
        <v>0</v>
      </c>
      <c r="BW21" t="n">
        <f>IF(OR(Personnes!$A21="",11&gt;Paramètres!$B$9),0,MAX(0,SUMIF($B$8:$B$247,Personnes!$A21,$O$8:$O$247)-'Planning par personne'!M21))</f>
        <v>0</v>
      </c>
      <c r="BX21" t="n">
        <f>IF(OR(Personnes!$A21="",12&gt;Paramètres!$B$9),0,MAX(0,SUMIF($B$8:$B$247,Personnes!$A21,$P$8:$P$247)-'Planning par personne'!N21))</f>
        <v>0</v>
      </c>
      <c r="BY21" t="n">
        <f>IF(OR(Personnes!$A21="",13&gt;Paramètres!$B$9),0,MAX(0,SUMIF($B$8:$B$247,Personnes!$A21,$Q$8:$Q$247)-'Planning par personne'!O21))</f>
        <v>0</v>
      </c>
      <c r="BZ21" t="n">
        <f>IF(OR(Personnes!$A21="",1&gt;Paramètres!$B$9),0,MAX(0,SUMIF($B$8:$B$247,Personnes!$A21,$AK$8:$AK$247)-'Planning par personne'!C21))</f>
        <v>0</v>
      </c>
      <c r="CA21" t="n">
        <f>IF(OR(Personnes!$A21="",2&gt;Paramètres!$B$9),0,MAX(0,SUMIF($B$8:$B$247,Personnes!$A21,$AL$8:$AL$247)-'Planning par personne'!D21))</f>
        <v>0</v>
      </c>
      <c r="CB21" t="n">
        <f>IF(OR(Personnes!$A21="",3&gt;Paramètres!$B$9),0,MAX(0,SUMIF($B$8:$B$247,Personnes!$A21,$AM$8:$AM$247)-'Planning par personne'!E21))</f>
        <v>0</v>
      </c>
      <c r="CC21" t="n">
        <f>IF(OR(Personnes!$A21="",4&gt;Paramètres!$B$9),0,MAX(0,SUMIF($B$8:$B$247,Personnes!$A21,$AN$8:$AN$247)-'Planning par personne'!F21))</f>
        <v>0</v>
      </c>
      <c r="CD21" t="n">
        <f>IF(OR(Personnes!$A21="",5&gt;Paramètres!$B$9),0,MAX(0,SUMIF($B$8:$B$247,Personnes!$A21,$AO$8:$AO$247)-'Planning par personne'!G21))</f>
        <v>0</v>
      </c>
      <c r="CE21" t="n">
        <f>IF(OR(Personnes!$A21="",6&gt;Paramètres!$B$9),0,MAX(0,SUMIF($B$8:$B$247,Personnes!$A21,$AP$8:$AP$247)-'Planning par personne'!H21))</f>
        <v>0</v>
      </c>
      <c r="CF21" t="n">
        <f>IF(OR(Personnes!$A21="",7&gt;Paramètres!$B$9),0,MAX(0,SUMIF($B$8:$B$247,Personnes!$A21,$AQ$8:$AQ$247)-'Planning par personne'!I21))</f>
        <v>0</v>
      </c>
      <c r="CG21" t="n">
        <f>IF(OR(Personnes!$A21="",8&gt;Paramètres!$B$9),0,MAX(0,SUMIF($B$8:$B$247,Personnes!$A21,$AR$8:$AR$247)-'Planning par personne'!J21))</f>
        <v>0</v>
      </c>
      <c r="CH21" t="n">
        <f>IF(OR(Personnes!$A21="",9&gt;Paramètres!$B$9),0,MAX(0,SUMIF($B$8:$B$247,Personnes!$A21,$AS$8:$AS$247)-'Planning par personne'!K21))</f>
        <v>0</v>
      </c>
      <c r="CI21" t="n">
        <f>IF(OR(Personnes!$A21="",10&gt;Paramètres!$B$9),0,MAX(0,SUMIF($B$8:$B$247,Personnes!$A21,$AT$8:$AT$247)-'Planning par personne'!L21))</f>
        <v>0</v>
      </c>
      <c r="CJ21" t="n">
        <f>IF(OR(Personnes!$A21="",11&gt;Paramètres!$B$9),0,MAX(0,SUMIF($B$8:$B$247,Personnes!$A21,$AU$8:$AU$247)-'Planning par personne'!M21))</f>
        <v>0</v>
      </c>
      <c r="CK21" t="n">
        <f>IF(OR(Personnes!$A21="",12&gt;Paramètres!$B$9),0,MAX(0,SUMIF($B$8:$B$247,Personnes!$A21,$AV$8:$AV$247)-'Planning par personne'!N21))</f>
        <v>0</v>
      </c>
      <c r="CL21" t="n">
        <f>IF(OR(Personnes!$A21="",13&gt;Paramètres!$B$9),0,MAX(0,SUMIF($B$8:$B$247,Personnes!$A21,$AW$8:$AW$247)-'Planning par personne'!O21))</f>
        <v>0</v>
      </c>
      <c r="CM21" t="n">
        <f>IF(OR(Personnes!$A21="",1&gt;Paramètres!$B$9),0,MAX(0,SUMIF($B$8:$B$247,Personnes!$A21,$AX$8:$AX$247)-'Planning par personne'!C21))</f>
        <v>0</v>
      </c>
      <c r="CN21" t="n">
        <f>IF(OR(Personnes!$A21="",2&gt;Paramètres!$B$9),0,MAX(0,SUMIF($B$8:$B$247,Personnes!$A21,$AY$8:$AY$247)-'Planning par personne'!D21))</f>
        <v>0</v>
      </c>
      <c r="CO21" t="n">
        <f>IF(OR(Personnes!$A21="",3&gt;Paramètres!$B$9),0,MAX(0,SUMIF($B$8:$B$247,Personnes!$A21,$AZ$8:$AZ$247)-'Planning par personne'!E21))</f>
        <v>0</v>
      </c>
      <c r="CP21" t="n">
        <f>IF(OR(Personnes!$A21="",4&gt;Paramètres!$B$9),0,MAX(0,SUMIF($B$8:$B$247,Personnes!$A21,$BA$8:$BA$247)-'Planning par personne'!F21))</f>
        <v>0</v>
      </c>
      <c r="CQ21" t="n">
        <f>IF(OR(Personnes!$A21="",5&gt;Paramètres!$B$9),0,MAX(0,SUMIF($B$8:$B$247,Personnes!$A21,$BB$8:$BB$247)-'Planning par personne'!G21))</f>
        <v>0</v>
      </c>
      <c r="CR21" t="n">
        <f>IF(OR(Personnes!$A21="",6&gt;Paramètres!$B$9),0,MAX(0,SUMIF($B$8:$B$247,Personnes!$A21,$BC$8:$BC$247)-'Planning par personne'!H21))</f>
        <v>0</v>
      </c>
      <c r="CS21" t="n">
        <f>IF(OR(Personnes!$A21="",7&gt;Paramètres!$B$9),0,MAX(0,SUMIF($B$8:$B$247,Personnes!$A21,$BD$8:$BD$247)-'Planning par personne'!I21))</f>
        <v>0</v>
      </c>
      <c r="CT21" t="n">
        <f>IF(OR(Personnes!$A21="",8&gt;Paramètres!$B$9),0,MAX(0,SUMIF($B$8:$B$247,Personnes!$A21,$BE$8:$BE$247)-'Planning par personne'!J21))</f>
        <v>0</v>
      </c>
      <c r="CU21" t="n">
        <f>IF(OR(Personnes!$A21="",9&gt;Paramètres!$B$9),0,MAX(0,SUMIF($B$8:$B$247,Personnes!$A21,$BF$8:$BF$247)-'Planning par personne'!K21))</f>
        <v>0</v>
      </c>
      <c r="CV21" t="n">
        <f>IF(OR(Personnes!$A21="",10&gt;Paramètres!$B$9),0,MAX(0,SUMIF($B$8:$B$247,Personnes!$A21,$BG$8:$BG$247)-'Planning par personne'!L21))</f>
        <v>0</v>
      </c>
      <c r="CW21" t="n">
        <f>IF(OR(Personnes!$A21="",11&gt;Paramètres!$B$9),0,MAX(0,SUMIF($B$8:$B$247,Personnes!$A21,$BH$8:$BH$247)-'Planning par personne'!M21))</f>
        <v>0</v>
      </c>
      <c r="CX21" t="n">
        <f>IF(OR(Personnes!$A21="",12&gt;Paramètres!$B$9),0,MAX(0,SUMIF($B$8:$B$247,Personnes!$A21,$BI$8:$BI$247)-'Planning par personne'!N21))</f>
        <v>0</v>
      </c>
      <c r="CY21" t="n">
        <f>IF(OR(Personnes!$A21="",13&gt;Paramètres!$B$9),0,MAX(0,SUMIF($B$8:$B$247,Personnes!$A21,$BJ$8:$BJ$247)-'Planning par personne'!O21))</f>
        <v>0</v>
      </c>
      <c r="DJ21" t="n">
        <f>SUM(BM21:BY21)</f>
        <v>0</v>
      </c>
      <c r="DK21" t="n">
        <f>SUM(BZ21:CL21)</f>
        <v>0</v>
      </c>
      <c r="DL21" t="n">
        <f>SUM(CM21:CY21)</f>
        <v>0</v>
      </c>
      <c r="DM21" t="str">
        <f>IF(AND(Projets!A21&lt;&gt;"",Projets!G21="Engager"),DM20&amp;IF(DM20="","",", ")&amp;Projets!B21,DM20)</f>
        <v/>
      </c>
      <c r="DN21" t="str">
        <f>IF(AND(Projets!A21&lt;&gt;"",Projets!G21="Reporter"),DN20&amp;IF(DN20="","",", ")&amp;Projets!B21,DN20)</f>
        <v/>
      </c>
    </row>
    <row r="22">
      <c r="A22" t="n">
        <f>Charges!A22</f>
        <v>0</v>
      </c>
      <c r="B22" t="n">
        <f>Charges!C22</f>
        <v>0</v>
      </c>
      <c r="C22" t="str">
        <f>Charges!D22</f>
        <v/>
      </c>
      <c r="E22" t="n">
        <f>IF(1&lt;=Paramètres!$B$9,MAX(0,IFERROR(N(IF(ISNUMBER(Charges!F22),MAX(0,Charges!F22),IFERROR(VLOOKUP(Charges!F22,Paramètres!$A$15:$B$18,2,FALSE),0))),0)),0)</f>
        <v>0</v>
      </c>
      <c r="F22" t="n">
        <f>IF(2&lt;=Paramètres!$B$9,MAX(0,IFERROR(N(IF(ISNUMBER(Charges!G22),MAX(0,Charges!G22),IFERROR(VLOOKUP(Charges!G22,Paramètres!$A$15:$B$18,2,FALSE),0))),0)),0)</f>
        <v>0</v>
      </c>
      <c r="G22" t="n">
        <f>IF(3&lt;=Paramètres!$B$9,MAX(0,IFERROR(N(IF(ISNUMBER(Charges!H22),MAX(0,Charges!H22),IFERROR(VLOOKUP(Charges!H22,Paramètres!$A$15:$B$18,2,FALSE),0))),0)),0)</f>
        <v>0</v>
      </c>
      <c r="H22" t="n">
        <f>IF(4&lt;=Paramètres!$B$9,MAX(0,IFERROR(N(IF(ISNUMBER(Charges!I22),MAX(0,Charges!I22),IFERROR(VLOOKUP(Charges!I22,Paramètres!$A$15:$B$18,2,FALSE),0))),0)),0)</f>
        <v>0</v>
      </c>
      <c r="I22" t="n">
        <f>IF(5&lt;=Paramètres!$B$9,MAX(0,IFERROR(N(IF(ISNUMBER(Charges!J22),MAX(0,Charges!J22),IFERROR(VLOOKUP(Charges!J22,Paramètres!$A$15:$B$18,2,FALSE),0))),0)),0)</f>
        <v>0</v>
      </c>
      <c r="J22" t="n">
        <f>IF(6&lt;=Paramètres!$B$9,MAX(0,IFERROR(N(IF(ISNUMBER(Charges!K22),MAX(0,Charges!K22),IFERROR(VLOOKUP(Charges!K22,Paramètres!$A$15:$B$18,2,FALSE),0))),0)),0)</f>
        <v>0</v>
      </c>
      <c r="K22" t="n">
        <f>IF(7&lt;=Paramètres!$B$9,MAX(0,IFERROR(N(IF(ISNUMBER(Charges!L22),MAX(0,Charges!L22),IFERROR(VLOOKUP(Charges!L22,Paramètres!$A$15:$B$18,2,FALSE),0))),0)),0)</f>
        <v>0</v>
      </c>
      <c r="L22" t="n">
        <f>IF(8&lt;=Paramètres!$B$9,MAX(0,IFERROR(N(IF(ISNUMBER(Charges!M22),MAX(0,Charges!M22),IFERROR(VLOOKUP(Charges!M22,Paramètres!$A$15:$B$18,2,FALSE),0))),0)),0)</f>
        <v>0</v>
      </c>
      <c r="M22" t="n">
        <f>IF(9&lt;=Paramètres!$B$9,MAX(0,IFERROR(N(IF(ISNUMBER(Charges!N22),MAX(0,Charges!N22),IFERROR(VLOOKUP(Charges!N22,Paramètres!$A$15:$B$18,2,FALSE),0))),0)),0)</f>
        <v>0</v>
      </c>
      <c r="N22" t="n">
        <f>IF(10&lt;=Paramètres!$B$9,MAX(0,IFERROR(N(IF(ISNUMBER(Charges!O22),MAX(0,Charges!O22),IFERROR(VLOOKUP(Charges!O22,Paramètres!$A$15:$B$18,2,FALSE),0))),0)),0)</f>
        <v>0</v>
      </c>
      <c r="O22" t="n">
        <f>IF(11&lt;=Paramètres!$B$9,MAX(0,IFERROR(N(IF(ISNUMBER(Charges!P22),MAX(0,Charges!P22),IFERROR(VLOOKUP(Charges!P22,Paramètres!$A$15:$B$18,2,FALSE),0))),0)),0)</f>
        <v>0</v>
      </c>
      <c r="P22" t="n">
        <f>IF(12&lt;=Paramètres!$B$9,MAX(0,IFERROR(N(IF(ISNUMBER(Charges!Q22),MAX(0,Charges!Q22),IFERROR(VLOOKUP(Charges!Q22,Paramètres!$A$15:$B$18,2,FALSE),0))),0)),0)</f>
        <v>0</v>
      </c>
      <c r="Q22" t="n">
        <f>IF(13&lt;=Paramètres!$B$9,MAX(0,IFERROR(N(IF(ISNUMBER(Charges!R22),MAX(0,Charges!R22),IFERROR(VLOOKUP(Charges!R22,Paramètres!$A$15:$B$18,2,FALSE),0))),0)),0)</f>
        <v>0</v>
      </c>
      <c r="R22" t="n">
        <f>SUM(E22:Q22)</f>
        <v>0</v>
      </c>
      <c r="S22" t="n">
        <f>IF(IFERROR(VLOOKUP(A22,'Projets'!$A$8:$Z$67,7,FALSE),"")="Engager",1,0)</f>
        <v>0</v>
      </c>
      <c r="T22" t="n">
        <f>IF(OR(Charges!F22="",AND(ISNUMBER(Charges!F22),Charges!F22&gt;=0),Charges!F22="S",Charges!F22="M",Charges!F22="L",Charges!F22="XL"),0,1)+IF(OR(Charges!G22="",AND(ISNUMBER(Charges!G22),Charges!G22&gt;=0),Charges!G22="S",Charges!G22="M",Charges!G22="L",Charges!G22="XL"),0,1)+IF(OR(Charges!H22="",AND(ISNUMBER(Charges!H22),Charges!H22&gt;=0),Charges!H22="S",Charges!H22="M",Charges!H22="L",Charges!H22="XL"),0,1)+IF(OR(Charges!I22="",AND(ISNUMBER(Charges!I22),Charges!I22&gt;=0),Charges!I22="S",Charges!I22="M",Charges!I22="L",Charges!I22="XL"),0,1)+IF(OR(Charges!J22="",AND(ISNUMBER(Charges!J22),Charges!J22&gt;=0),Charges!J22="S",Charges!J22="M",Charges!J22="L",Charges!J22="XL"),0,1)+IF(OR(Charges!K22="",AND(ISNUMBER(Charges!K22),Charges!K22&gt;=0),Charges!K22="S",Charges!K22="M",Charges!K22="L",Charges!K22="XL"),0,1)+IF(OR(Charges!L22="",AND(ISNUMBER(Charges!L22),Charges!L22&gt;=0),Charges!L22="S",Charges!L22="M",Charges!L22="L",Charges!L22="XL"),0,1)+IF(OR(Charges!M22="",AND(ISNUMBER(Charges!M22),Charges!M22&gt;=0),Charges!M22="S",Charges!M22="M",Charges!M22="L",Charges!M22="XL"),0,1)+IF(OR(Charges!N22="",AND(ISNUMBER(Charges!N22),Charges!N22&gt;=0),Charges!N22="S",Charges!N22="M",Charges!N22="L",Charges!N22="XL"),0,1)+IF(OR(Charges!O22="",AND(ISNUMBER(Charges!O22),Charges!O22&gt;=0),Charges!O22="S",Charges!O22="M",Charges!O22="L",Charges!O22="XL"),0,1)+IF(OR(Charges!P22="",AND(ISNUMBER(Charges!P22),Charges!P22&gt;=0),Charges!P22="S",Charges!P22="M",Charges!P22="L",Charges!P22="XL"),0,1)+IF(OR(Charges!Q22="",AND(ISNUMBER(Charges!Q22),Charges!Q22&gt;=0),Charges!Q22="S",Charges!Q22="M",Charges!Q22="L",Charges!Q22="XL"),0,1)+IF(OR(Charges!R22="",AND(ISNUMBER(Charges!R22),Charges!R22&gt;=0),Charges!R22="S",Charges!R22="M",Charges!R22="L",Charges!R22="XL"),0,1)</f>
        <v>0</v>
      </c>
      <c r="U22" t="n">
        <f>IF(AND(1&gt;Paramètres!$B$9,Charges!F22&lt;&gt;"",Charges!F22&lt;&gt;0),1,0)+IF(AND(2&gt;Paramètres!$B$9,Charges!G22&lt;&gt;"",Charges!G22&lt;&gt;0),1,0)+IF(AND(3&gt;Paramètres!$B$9,Charges!H22&lt;&gt;"",Charges!H22&lt;&gt;0),1,0)+IF(AND(4&gt;Paramètres!$B$9,Charges!I22&lt;&gt;"",Charges!I22&lt;&gt;0),1,0)+IF(AND(5&gt;Paramètres!$B$9,Charges!J22&lt;&gt;"",Charges!J22&lt;&gt;0),1,0)+IF(AND(6&gt;Paramètres!$B$9,Charges!K22&lt;&gt;"",Charges!K22&lt;&gt;0),1,0)+IF(AND(7&gt;Paramètres!$B$9,Charges!L22&lt;&gt;"",Charges!L22&lt;&gt;0),1,0)+IF(AND(8&gt;Paramètres!$B$9,Charges!M22&lt;&gt;"",Charges!M22&lt;&gt;0),1,0)+IF(AND(9&gt;Paramètres!$B$9,Charges!N22&lt;&gt;"",Charges!N22&lt;&gt;0),1,0)+IF(AND(10&gt;Paramètres!$B$9,Charges!O22&lt;&gt;"",Charges!O22&lt;&gt;0),1,0)+IF(AND(11&gt;Paramètres!$B$9,Charges!P22&lt;&gt;"",Charges!P22&lt;&gt;0),1,0)+IF(AND(12&gt;Paramètres!$B$9,Charges!Q22&lt;&gt;"",Charges!Q22&lt;&gt;0),1,0)+IF(AND(13&gt;Paramètres!$B$9,Charges!R22&lt;&gt;"",Charges!R22&lt;&gt;0),1,0)</f>
        <v>0</v>
      </c>
      <c r="V22" t="n">
        <f>IF(IFERROR(VLOOKUP(A22,'Projets'!$A$8:$Z$67,5,FALSE),"")="Engager",1,0)</f>
        <v>0</v>
      </c>
      <c r="W22" t="n">
        <f>IF(IFERROR(VLOOKUP(A22,'Projets'!$A$8:$Z$67,6,FALSE),"")="Engager",1,0)</f>
        <v>0</v>
      </c>
      <c r="X22" t="n">
        <f>E22*S22</f>
        <v>0</v>
      </c>
      <c r="Y22" t="n">
        <f>F22*S22</f>
        <v>0</v>
      </c>
      <c r="Z22" t="n">
        <f>G22*S22</f>
        <v>0</v>
      </c>
      <c r="AA22" t="n">
        <f>H22*S22</f>
        <v>0</v>
      </c>
      <c r="AB22" t="n">
        <f>I22*S22</f>
        <v>0</v>
      </c>
      <c r="AC22" t="n">
        <f>J22*S22</f>
        <v>0</v>
      </c>
      <c r="AD22" t="n">
        <f>K22*S22</f>
        <v>0</v>
      </c>
      <c r="AE22" t="n">
        <f>L22*S22</f>
        <v>0</v>
      </c>
      <c r="AF22" t="n">
        <f>M22*S22</f>
        <v>0</v>
      </c>
      <c r="AG22" t="n">
        <f>N22*S22</f>
        <v>0</v>
      </c>
      <c r="AH22" t="n">
        <f>O22*S22</f>
        <v>0</v>
      </c>
      <c r="AI22" t="n">
        <f>P22*S22</f>
        <v>0</v>
      </c>
      <c r="AJ22" t="n">
        <f>Q22*S22</f>
        <v>0</v>
      </c>
      <c r="AK22" t="n">
        <f>E22*V22</f>
        <v>0</v>
      </c>
      <c r="AL22" t="n">
        <f>F22*V22</f>
        <v>0</v>
      </c>
      <c r="AM22" t="n">
        <f>G22*V22</f>
        <v>0</v>
      </c>
      <c r="AN22" t="n">
        <f>H22*V22</f>
        <v>0</v>
      </c>
      <c r="AO22" t="n">
        <f>I22*V22</f>
        <v>0</v>
      </c>
      <c r="AP22" t="n">
        <f>J22*V22</f>
        <v>0</v>
      </c>
      <c r="AQ22" t="n">
        <f>K22*V22</f>
        <v>0</v>
      </c>
      <c r="AR22" t="n">
        <f>L22*V22</f>
        <v>0</v>
      </c>
      <c r="AS22" t="n">
        <f>M22*V22</f>
        <v>0</v>
      </c>
      <c r="AT22" t="n">
        <f>N22*V22</f>
        <v>0</v>
      </c>
      <c r="AU22" t="n">
        <f>O22*V22</f>
        <v>0</v>
      </c>
      <c r="AV22" t="n">
        <f>P22*V22</f>
        <v>0</v>
      </c>
      <c r="AW22" t="n">
        <f>Q22*V22</f>
        <v>0</v>
      </c>
      <c r="AX22" t="n">
        <f>E22*W22</f>
        <v>0</v>
      </c>
      <c r="AY22" t="n">
        <f>F22*W22</f>
        <v>0</v>
      </c>
      <c r="AZ22" t="n">
        <f>G22*W22</f>
        <v>0</v>
      </c>
      <c r="BA22" t="n">
        <f>H22*W22</f>
        <v>0</v>
      </c>
      <c r="BB22" t="n">
        <f>I22*W22</f>
        <v>0</v>
      </c>
      <c r="BC22" t="n">
        <f>J22*W22</f>
        <v>0</v>
      </c>
      <c r="BD22" t="n">
        <f>K22*W22</f>
        <v>0</v>
      </c>
      <c r="BE22" t="n">
        <f>L22*W22</f>
        <v>0</v>
      </c>
      <c r="BF22" t="n">
        <f>M22*W22</f>
        <v>0</v>
      </c>
      <c r="BG22" t="n">
        <f>N22*W22</f>
        <v>0</v>
      </c>
      <c r="BH22" t="n">
        <f>O22*W22</f>
        <v>0</v>
      </c>
      <c r="BI22" t="n">
        <f>P22*W22</f>
        <v>0</v>
      </c>
      <c r="BJ22" t="n">
        <f>Q22*W22</f>
        <v>0</v>
      </c>
      <c r="BM22" t="n">
        <f>IF(OR(Personnes!$A22="",1&gt;Paramètres!$B$9),0,MAX(0,SUMIF($B$8:$B$247,Personnes!$A22,$E$8:$E$247)-'Planning par personne'!C22))</f>
        <v>0</v>
      </c>
      <c r="BN22" t="n">
        <f>IF(OR(Personnes!$A22="",2&gt;Paramètres!$B$9),0,MAX(0,SUMIF($B$8:$B$247,Personnes!$A22,$F$8:$F$247)-'Planning par personne'!D22))</f>
        <v>0</v>
      </c>
      <c r="BO22" t="n">
        <f>IF(OR(Personnes!$A22="",3&gt;Paramètres!$B$9),0,MAX(0,SUMIF($B$8:$B$247,Personnes!$A22,$G$8:$G$247)-'Planning par personne'!E22))</f>
        <v>0</v>
      </c>
      <c r="BP22" t="n">
        <f>IF(OR(Personnes!$A22="",4&gt;Paramètres!$B$9),0,MAX(0,SUMIF($B$8:$B$247,Personnes!$A22,$H$8:$H$247)-'Planning par personne'!F22))</f>
        <v>0</v>
      </c>
      <c r="BQ22" t="n">
        <f>IF(OR(Personnes!$A22="",5&gt;Paramètres!$B$9),0,MAX(0,SUMIF($B$8:$B$247,Personnes!$A22,$I$8:$I$247)-'Planning par personne'!G22))</f>
        <v>0</v>
      </c>
      <c r="BR22" t="n">
        <f>IF(OR(Personnes!$A22="",6&gt;Paramètres!$B$9),0,MAX(0,SUMIF($B$8:$B$247,Personnes!$A22,$J$8:$J$247)-'Planning par personne'!H22))</f>
        <v>0</v>
      </c>
      <c r="BS22" t="n">
        <f>IF(OR(Personnes!$A22="",7&gt;Paramètres!$B$9),0,MAX(0,SUMIF($B$8:$B$247,Personnes!$A22,$K$8:$K$247)-'Planning par personne'!I22))</f>
        <v>0</v>
      </c>
      <c r="BT22" t="n">
        <f>IF(OR(Personnes!$A22="",8&gt;Paramètres!$B$9),0,MAX(0,SUMIF($B$8:$B$247,Personnes!$A22,$L$8:$L$247)-'Planning par personne'!J22))</f>
        <v>0</v>
      </c>
      <c r="BU22" t="n">
        <f>IF(OR(Personnes!$A22="",9&gt;Paramètres!$B$9),0,MAX(0,SUMIF($B$8:$B$247,Personnes!$A22,$M$8:$M$247)-'Planning par personne'!K22))</f>
        <v>0</v>
      </c>
      <c r="BV22" t="n">
        <f>IF(OR(Personnes!$A22="",10&gt;Paramètres!$B$9),0,MAX(0,SUMIF($B$8:$B$247,Personnes!$A22,$N$8:$N$247)-'Planning par personne'!L22))</f>
        <v>0</v>
      </c>
      <c r="BW22" t="n">
        <f>IF(OR(Personnes!$A22="",11&gt;Paramètres!$B$9),0,MAX(0,SUMIF($B$8:$B$247,Personnes!$A22,$O$8:$O$247)-'Planning par personne'!M22))</f>
        <v>0</v>
      </c>
      <c r="BX22" t="n">
        <f>IF(OR(Personnes!$A22="",12&gt;Paramètres!$B$9),0,MAX(0,SUMIF($B$8:$B$247,Personnes!$A22,$P$8:$P$247)-'Planning par personne'!N22))</f>
        <v>0</v>
      </c>
      <c r="BY22" t="n">
        <f>IF(OR(Personnes!$A22="",13&gt;Paramètres!$B$9),0,MAX(0,SUMIF($B$8:$B$247,Personnes!$A22,$Q$8:$Q$247)-'Planning par personne'!O22))</f>
        <v>0</v>
      </c>
      <c r="BZ22" t="n">
        <f>IF(OR(Personnes!$A22="",1&gt;Paramètres!$B$9),0,MAX(0,SUMIF($B$8:$B$247,Personnes!$A22,$AK$8:$AK$247)-'Planning par personne'!C22))</f>
        <v>0</v>
      </c>
      <c r="CA22" t="n">
        <f>IF(OR(Personnes!$A22="",2&gt;Paramètres!$B$9),0,MAX(0,SUMIF($B$8:$B$247,Personnes!$A22,$AL$8:$AL$247)-'Planning par personne'!D22))</f>
        <v>0</v>
      </c>
      <c r="CB22" t="n">
        <f>IF(OR(Personnes!$A22="",3&gt;Paramètres!$B$9),0,MAX(0,SUMIF($B$8:$B$247,Personnes!$A22,$AM$8:$AM$247)-'Planning par personne'!E22))</f>
        <v>0</v>
      </c>
      <c r="CC22" t="n">
        <f>IF(OR(Personnes!$A22="",4&gt;Paramètres!$B$9),0,MAX(0,SUMIF($B$8:$B$247,Personnes!$A22,$AN$8:$AN$247)-'Planning par personne'!F22))</f>
        <v>0</v>
      </c>
      <c r="CD22" t="n">
        <f>IF(OR(Personnes!$A22="",5&gt;Paramètres!$B$9),0,MAX(0,SUMIF($B$8:$B$247,Personnes!$A22,$AO$8:$AO$247)-'Planning par personne'!G22))</f>
        <v>0</v>
      </c>
      <c r="CE22" t="n">
        <f>IF(OR(Personnes!$A22="",6&gt;Paramètres!$B$9),0,MAX(0,SUMIF($B$8:$B$247,Personnes!$A22,$AP$8:$AP$247)-'Planning par personne'!H22))</f>
        <v>0</v>
      </c>
      <c r="CF22" t="n">
        <f>IF(OR(Personnes!$A22="",7&gt;Paramètres!$B$9),0,MAX(0,SUMIF($B$8:$B$247,Personnes!$A22,$AQ$8:$AQ$247)-'Planning par personne'!I22))</f>
        <v>0</v>
      </c>
      <c r="CG22" t="n">
        <f>IF(OR(Personnes!$A22="",8&gt;Paramètres!$B$9),0,MAX(0,SUMIF($B$8:$B$247,Personnes!$A22,$AR$8:$AR$247)-'Planning par personne'!J22))</f>
        <v>0</v>
      </c>
      <c r="CH22" t="n">
        <f>IF(OR(Personnes!$A22="",9&gt;Paramètres!$B$9),0,MAX(0,SUMIF($B$8:$B$247,Personnes!$A22,$AS$8:$AS$247)-'Planning par personne'!K22))</f>
        <v>0</v>
      </c>
      <c r="CI22" t="n">
        <f>IF(OR(Personnes!$A22="",10&gt;Paramètres!$B$9),0,MAX(0,SUMIF($B$8:$B$247,Personnes!$A22,$AT$8:$AT$247)-'Planning par personne'!L22))</f>
        <v>0</v>
      </c>
      <c r="CJ22" t="n">
        <f>IF(OR(Personnes!$A22="",11&gt;Paramètres!$B$9),0,MAX(0,SUMIF($B$8:$B$247,Personnes!$A22,$AU$8:$AU$247)-'Planning par personne'!M22))</f>
        <v>0</v>
      </c>
      <c r="CK22" t="n">
        <f>IF(OR(Personnes!$A22="",12&gt;Paramètres!$B$9),0,MAX(0,SUMIF($B$8:$B$247,Personnes!$A22,$AV$8:$AV$247)-'Planning par personne'!N22))</f>
        <v>0</v>
      </c>
      <c r="CL22" t="n">
        <f>IF(OR(Personnes!$A22="",13&gt;Paramètres!$B$9),0,MAX(0,SUMIF($B$8:$B$247,Personnes!$A22,$AW$8:$AW$247)-'Planning par personne'!O22))</f>
        <v>0</v>
      </c>
      <c r="CM22" t="n">
        <f>IF(OR(Personnes!$A22="",1&gt;Paramètres!$B$9),0,MAX(0,SUMIF($B$8:$B$247,Personnes!$A22,$AX$8:$AX$247)-'Planning par personne'!C22))</f>
        <v>0</v>
      </c>
      <c r="CN22" t="n">
        <f>IF(OR(Personnes!$A22="",2&gt;Paramètres!$B$9),0,MAX(0,SUMIF($B$8:$B$247,Personnes!$A22,$AY$8:$AY$247)-'Planning par personne'!D22))</f>
        <v>0</v>
      </c>
      <c r="CO22" t="n">
        <f>IF(OR(Personnes!$A22="",3&gt;Paramètres!$B$9),0,MAX(0,SUMIF($B$8:$B$247,Personnes!$A22,$AZ$8:$AZ$247)-'Planning par personne'!E22))</f>
        <v>0</v>
      </c>
      <c r="CP22" t="n">
        <f>IF(OR(Personnes!$A22="",4&gt;Paramètres!$B$9),0,MAX(0,SUMIF($B$8:$B$247,Personnes!$A22,$BA$8:$BA$247)-'Planning par personne'!F22))</f>
        <v>0</v>
      </c>
      <c r="CQ22" t="n">
        <f>IF(OR(Personnes!$A22="",5&gt;Paramètres!$B$9),0,MAX(0,SUMIF($B$8:$B$247,Personnes!$A22,$BB$8:$BB$247)-'Planning par personne'!G22))</f>
        <v>0</v>
      </c>
      <c r="CR22" t="n">
        <f>IF(OR(Personnes!$A22="",6&gt;Paramètres!$B$9),0,MAX(0,SUMIF($B$8:$B$247,Personnes!$A22,$BC$8:$BC$247)-'Planning par personne'!H22))</f>
        <v>0</v>
      </c>
      <c r="CS22" t="n">
        <f>IF(OR(Personnes!$A22="",7&gt;Paramètres!$B$9),0,MAX(0,SUMIF($B$8:$B$247,Personnes!$A22,$BD$8:$BD$247)-'Planning par personne'!I22))</f>
        <v>0</v>
      </c>
      <c r="CT22" t="n">
        <f>IF(OR(Personnes!$A22="",8&gt;Paramètres!$B$9),0,MAX(0,SUMIF($B$8:$B$247,Personnes!$A22,$BE$8:$BE$247)-'Planning par personne'!J22))</f>
        <v>0</v>
      </c>
      <c r="CU22" t="n">
        <f>IF(OR(Personnes!$A22="",9&gt;Paramètres!$B$9),0,MAX(0,SUMIF($B$8:$B$247,Personnes!$A22,$BF$8:$BF$247)-'Planning par personne'!K22))</f>
        <v>0</v>
      </c>
      <c r="CV22" t="n">
        <f>IF(OR(Personnes!$A22="",10&gt;Paramètres!$B$9),0,MAX(0,SUMIF($B$8:$B$247,Personnes!$A22,$BG$8:$BG$247)-'Planning par personne'!L22))</f>
        <v>0</v>
      </c>
      <c r="CW22" t="n">
        <f>IF(OR(Personnes!$A22="",11&gt;Paramètres!$B$9),0,MAX(0,SUMIF($B$8:$B$247,Personnes!$A22,$BH$8:$BH$247)-'Planning par personne'!M22))</f>
        <v>0</v>
      </c>
      <c r="CX22" t="n">
        <f>IF(OR(Personnes!$A22="",12&gt;Paramètres!$B$9),0,MAX(0,SUMIF($B$8:$B$247,Personnes!$A22,$BI$8:$BI$247)-'Planning par personne'!N22))</f>
        <v>0</v>
      </c>
      <c r="CY22" t="n">
        <f>IF(OR(Personnes!$A22="",13&gt;Paramètres!$B$9),0,MAX(0,SUMIF($B$8:$B$247,Personnes!$A22,$BJ$8:$BJ$247)-'Planning par personne'!O22))</f>
        <v>0</v>
      </c>
      <c r="DJ22" t="n">
        <f>SUM(BM22:BY22)</f>
        <v>0</v>
      </c>
      <c r="DK22" t="n">
        <f>SUM(BZ22:CL22)</f>
        <v>0</v>
      </c>
      <c r="DL22" t="n">
        <f>SUM(CM22:CY22)</f>
        <v>0</v>
      </c>
      <c r="DM22" t="str">
        <f>IF(AND(Projets!A22&lt;&gt;"",Projets!G22="Engager"),DM21&amp;IF(DM21="","",", ")&amp;Projets!B22,DM21)</f>
        <v/>
      </c>
      <c r="DN22" t="str">
        <f>IF(AND(Projets!A22&lt;&gt;"",Projets!G22="Reporter"),DN21&amp;IF(DN21="","",", ")&amp;Projets!B22,DN21)</f>
        <v/>
      </c>
    </row>
    <row r="23">
      <c r="A23" t="n">
        <f>Charges!A23</f>
        <v>0</v>
      </c>
      <c r="B23" t="n">
        <f>Charges!C23</f>
        <v>0</v>
      </c>
      <c r="C23" t="str">
        <f>Charges!D23</f>
        <v/>
      </c>
      <c r="E23" t="n">
        <f>IF(1&lt;=Paramètres!$B$9,MAX(0,IFERROR(N(IF(ISNUMBER(Charges!F23),MAX(0,Charges!F23),IFERROR(VLOOKUP(Charges!F23,Paramètres!$A$15:$B$18,2,FALSE),0))),0)),0)</f>
        <v>0</v>
      </c>
      <c r="F23" t="n">
        <f>IF(2&lt;=Paramètres!$B$9,MAX(0,IFERROR(N(IF(ISNUMBER(Charges!G23),MAX(0,Charges!G23),IFERROR(VLOOKUP(Charges!G23,Paramètres!$A$15:$B$18,2,FALSE),0))),0)),0)</f>
        <v>0</v>
      </c>
      <c r="G23" t="n">
        <f>IF(3&lt;=Paramètres!$B$9,MAX(0,IFERROR(N(IF(ISNUMBER(Charges!H23),MAX(0,Charges!H23),IFERROR(VLOOKUP(Charges!H23,Paramètres!$A$15:$B$18,2,FALSE),0))),0)),0)</f>
        <v>0</v>
      </c>
      <c r="H23" t="n">
        <f>IF(4&lt;=Paramètres!$B$9,MAX(0,IFERROR(N(IF(ISNUMBER(Charges!I23),MAX(0,Charges!I23),IFERROR(VLOOKUP(Charges!I23,Paramètres!$A$15:$B$18,2,FALSE),0))),0)),0)</f>
        <v>0</v>
      </c>
      <c r="I23" t="n">
        <f>IF(5&lt;=Paramètres!$B$9,MAX(0,IFERROR(N(IF(ISNUMBER(Charges!J23),MAX(0,Charges!J23),IFERROR(VLOOKUP(Charges!J23,Paramètres!$A$15:$B$18,2,FALSE),0))),0)),0)</f>
        <v>0</v>
      </c>
      <c r="J23" t="n">
        <f>IF(6&lt;=Paramètres!$B$9,MAX(0,IFERROR(N(IF(ISNUMBER(Charges!K23),MAX(0,Charges!K23),IFERROR(VLOOKUP(Charges!K23,Paramètres!$A$15:$B$18,2,FALSE),0))),0)),0)</f>
        <v>0</v>
      </c>
      <c r="K23" t="n">
        <f>IF(7&lt;=Paramètres!$B$9,MAX(0,IFERROR(N(IF(ISNUMBER(Charges!L23),MAX(0,Charges!L23),IFERROR(VLOOKUP(Charges!L23,Paramètres!$A$15:$B$18,2,FALSE),0))),0)),0)</f>
        <v>0</v>
      </c>
      <c r="L23" t="n">
        <f>IF(8&lt;=Paramètres!$B$9,MAX(0,IFERROR(N(IF(ISNUMBER(Charges!M23),MAX(0,Charges!M23),IFERROR(VLOOKUP(Charges!M23,Paramètres!$A$15:$B$18,2,FALSE),0))),0)),0)</f>
        <v>0</v>
      </c>
      <c r="M23" t="n">
        <f>IF(9&lt;=Paramètres!$B$9,MAX(0,IFERROR(N(IF(ISNUMBER(Charges!N23),MAX(0,Charges!N23),IFERROR(VLOOKUP(Charges!N23,Paramètres!$A$15:$B$18,2,FALSE),0))),0)),0)</f>
        <v>0</v>
      </c>
      <c r="N23" t="n">
        <f>IF(10&lt;=Paramètres!$B$9,MAX(0,IFERROR(N(IF(ISNUMBER(Charges!O23),MAX(0,Charges!O23),IFERROR(VLOOKUP(Charges!O23,Paramètres!$A$15:$B$18,2,FALSE),0))),0)),0)</f>
        <v>0</v>
      </c>
      <c r="O23" t="n">
        <f>IF(11&lt;=Paramètres!$B$9,MAX(0,IFERROR(N(IF(ISNUMBER(Charges!P23),MAX(0,Charges!P23),IFERROR(VLOOKUP(Charges!P23,Paramètres!$A$15:$B$18,2,FALSE),0))),0)),0)</f>
        <v>0</v>
      </c>
      <c r="P23" t="n">
        <f>IF(12&lt;=Paramètres!$B$9,MAX(0,IFERROR(N(IF(ISNUMBER(Charges!Q23),MAX(0,Charges!Q23),IFERROR(VLOOKUP(Charges!Q23,Paramètres!$A$15:$B$18,2,FALSE),0))),0)),0)</f>
        <v>0</v>
      </c>
      <c r="Q23" t="n">
        <f>IF(13&lt;=Paramètres!$B$9,MAX(0,IFERROR(N(IF(ISNUMBER(Charges!R23),MAX(0,Charges!R23),IFERROR(VLOOKUP(Charges!R23,Paramètres!$A$15:$B$18,2,FALSE),0))),0)),0)</f>
        <v>0</v>
      </c>
      <c r="R23" t="n">
        <f>SUM(E23:Q23)</f>
        <v>0</v>
      </c>
      <c r="S23" t="n">
        <f>IF(IFERROR(VLOOKUP(A23,'Projets'!$A$8:$Z$67,7,FALSE),"")="Engager",1,0)</f>
        <v>0</v>
      </c>
      <c r="T23" t="n">
        <f>IF(OR(Charges!F23="",AND(ISNUMBER(Charges!F23),Charges!F23&gt;=0),Charges!F23="S",Charges!F23="M",Charges!F23="L",Charges!F23="XL"),0,1)+IF(OR(Charges!G23="",AND(ISNUMBER(Charges!G23),Charges!G23&gt;=0),Charges!G23="S",Charges!G23="M",Charges!G23="L",Charges!G23="XL"),0,1)+IF(OR(Charges!H23="",AND(ISNUMBER(Charges!H23),Charges!H23&gt;=0),Charges!H23="S",Charges!H23="M",Charges!H23="L",Charges!H23="XL"),0,1)+IF(OR(Charges!I23="",AND(ISNUMBER(Charges!I23),Charges!I23&gt;=0),Charges!I23="S",Charges!I23="M",Charges!I23="L",Charges!I23="XL"),0,1)+IF(OR(Charges!J23="",AND(ISNUMBER(Charges!J23),Charges!J23&gt;=0),Charges!J23="S",Charges!J23="M",Charges!J23="L",Charges!J23="XL"),0,1)+IF(OR(Charges!K23="",AND(ISNUMBER(Charges!K23),Charges!K23&gt;=0),Charges!K23="S",Charges!K23="M",Charges!K23="L",Charges!K23="XL"),0,1)+IF(OR(Charges!L23="",AND(ISNUMBER(Charges!L23),Charges!L23&gt;=0),Charges!L23="S",Charges!L23="M",Charges!L23="L",Charges!L23="XL"),0,1)+IF(OR(Charges!M23="",AND(ISNUMBER(Charges!M23),Charges!M23&gt;=0),Charges!M23="S",Charges!M23="M",Charges!M23="L",Charges!M23="XL"),0,1)+IF(OR(Charges!N23="",AND(ISNUMBER(Charges!N23),Charges!N23&gt;=0),Charges!N23="S",Charges!N23="M",Charges!N23="L",Charges!N23="XL"),0,1)+IF(OR(Charges!O23="",AND(ISNUMBER(Charges!O23),Charges!O23&gt;=0),Charges!O23="S",Charges!O23="M",Charges!O23="L",Charges!O23="XL"),0,1)+IF(OR(Charges!P23="",AND(ISNUMBER(Charges!P23),Charges!P23&gt;=0),Charges!P23="S",Charges!P23="M",Charges!P23="L",Charges!P23="XL"),0,1)+IF(OR(Charges!Q23="",AND(ISNUMBER(Charges!Q23),Charges!Q23&gt;=0),Charges!Q23="S",Charges!Q23="M",Charges!Q23="L",Charges!Q23="XL"),0,1)+IF(OR(Charges!R23="",AND(ISNUMBER(Charges!R23),Charges!R23&gt;=0),Charges!R23="S",Charges!R23="M",Charges!R23="L",Charges!R23="XL"),0,1)</f>
        <v>0</v>
      </c>
      <c r="U23" t="n">
        <f>IF(AND(1&gt;Paramètres!$B$9,Charges!F23&lt;&gt;"",Charges!F23&lt;&gt;0),1,0)+IF(AND(2&gt;Paramètres!$B$9,Charges!G23&lt;&gt;"",Charges!G23&lt;&gt;0),1,0)+IF(AND(3&gt;Paramètres!$B$9,Charges!H23&lt;&gt;"",Charges!H23&lt;&gt;0),1,0)+IF(AND(4&gt;Paramètres!$B$9,Charges!I23&lt;&gt;"",Charges!I23&lt;&gt;0),1,0)+IF(AND(5&gt;Paramètres!$B$9,Charges!J23&lt;&gt;"",Charges!J23&lt;&gt;0),1,0)+IF(AND(6&gt;Paramètres!$B$9,Charges!K23&lt;&gt;"",Charges!K23&lt;&gt;0),1,0)+IF(AND(7&gt;Paramètres!$B$9,Charges!L23&lt;&gt;"",Charges!L23&lt;&gt;0),1,0)+IF(AND(8&gt;Paramètres!$B$9,Charges!M23&lt;&gt;"",Charges!M23&lt;&gt;0),1,0)+IF(AND(9&gt;Paramètres!$B$9,Charges!N23&lt;&gt;"",Charges!N23&lt;&gt;0),1,0)+IF(AND(10&gt;Paramètres!$B$9,Charges!O23&lt;&gt;"",Charges!O23&lt;&gt;0),1,0)+IF(AND(11&gt;Paramètres!$B$9,Charges!P23&lt;&gt;"",Charges!P23&lt;&gt;0),1,0)+IF(AND(12&gt;Paramètres!$B$9,Charges!Q23&lt;&gt;"",Charges!Q23&lt;&gt;0),1,0)+IF(AND(13&gt;Paramètres!$B$9,Charges!R23&lt;&gt;"",Charges!R23&lt;&gt;0),1,0)</f>
        <v>0</v>
      </c>
      <c r="V23" t="n">
        <f>IF(IFERROR(VLOOKUP(A23,'Projets'!$A$8:$Z$67,5,FALSE),"")="Engager",1,0)</f>
        <v>0</v>
      </c>
      <c r="W23" t="n">
        <f>IF(IFERROR(VLOOKUP(A23,'Projets'!$A$8:$Z$67,6,FALSE),"")="Engager",1,0)</f>
        <v>0</v>
      </c>
      <c r="X23" t="n">
        <f>E23*S23</f>
        <v>0</v>
      </c>
      <c r="Y23" t="n">
        <f>F23*S23</f>
        <v>0</v>
      </c>
      <c r="Z23" t="n">
        <f>G23*S23</f>
        <v>0</v>
      </c>
      <c r="AA23" t="n">
        <f>H23*S23</f>
        <v>0</v>
      </c>
      <c r="AB23" t="n">
        <f>I23*S23</f>
        <v>0</v>
      </c>
      <c r="AC23" t="n">
        <f>J23*S23</f>
        <v>0</v>
      </c>
      <c r="AD23" t="n">
        <f>K23*S23</f>
        <v>0</v>
      </c>
      <c r="AE23" t="n">
        <f>L23*S23</f>
        <v>0</v>
      </c>
      <c r="AF23" t="n">
        <f>M23*S23</f>
        <v>0</v>
      </c>
      <c r="AG23" t="n">
        <f>N23*S23</f>
        <v>0</v>
      </c>
      <c r="AH23" t="n">
        <f>O23*S23</f>
        <v>0</v>
      </c>
      <c r="AI23" t="n">
        <f>P23*S23</f>
        <v>0</v>
      </c>
      <c r="AJ23" t="n">
        <f>Q23*S23</f>
        <v>0</v>
      </c>
      <c r="AK23" t="n">
        <f>E23*V23</f>
        <v>0</v>
      </c>
      <c r="AL23" t="n">
        <f>F23*V23</f>
        <v>0</v>
      </c>
      <c r="AM23" t="n">
        <f>G23*V23</f>
        <v>0</v>
      </c>
      <c r="AN23" t="n">
        <f>H23*V23</f>
        <v>0</v>
      </c>
      <c r="AO23" t="n">
        <f>I23*V23</f>
        <v>0</v>
      </c>
      <c r="AP23" t="n">
        <f>J23*V23</f>
        <v>0</v>
      </c>
      <c r="AQ23" t="n">
        <f>K23*V23</f>
        <v>0</v>
      </c>
      <c r="AR23" t="n">
        <f>L23*V23</f>
        <v>0</v>
      </c>
      <c r="AS23" t="n">
        <f>M23*V23</f>
        <v>0</v>
      </c>
      <c r="AT23" t="n">
        <f>N23*V23</f>
        <v>0</v>
      </c>
      <c r="AU23" t="n">
        <f>O23*V23</f>
        <v>0</v>
      </c>
      <c r="AV23" t="n">
        <f>P23*V23</f>
        <v>0</v>
      </c>
      <c r="AW23" t="n">
        <f>Q23*V23</f>
        <v>0</v>
      </c>
      <c r="AX23" t="n">
        <f>E23*W23</f>
        <v>0</v>
      </c>
      <c r="AY23" t="n">
        <f>F23*W23</f>
        <v>0</v>
      </c>
      <c r="AZ23" t="n">
        <f>G23*W23</f>
        <v>0</v>
      </c>
      <c r="BA23" t="n">
        <f>H23*W23</f>
        <v>0</v>
      </c>
      <c r="BB23" t="n">
        <f>I23*W23</f>
        <v>0</v>
      </c>
      <c r="BC23" t="n">
        <f>J23*W23</f>
        <v>0</v>
      </c>
      <c r="BD23" t="n">
        <f>K23*W23</f>
        <v>0</v>
      </c>
      <c r="BE23" t="n">
        <f>L23*W23</f>
        <v>0</v>
      </c>
      <c r="BF23" t="n">
        <f>M23*W23</f>
        <v>0</v>
      </c>
      <c r="BG23" t="n">
        <f>N23*W23</f>
        <v>0</v>
      </c>
      <c r="BH23" t="n">
        <f>O23*W23</f>
        <v>0</v>
      </c>
      <c r="BI23" t="n">
        <f>P23*W23</f>
        <v>0</v>
      </c>
      <c r="BJ23" t="n">
        <f>Q23*W23</f>
        <v>0</v>
      </c>
      <c r="BM23" t="n">
        <f>IF(OR(Personnes!$A23="",1&gt;Paramètres!$B$9),0,MAX(0,SUMIF($B$8:$B$247,Personnes!$A23,$E$8:$E$247)-'Planning par personne'!C23))</f>
        <v>0</v>
      </c>
      <c r="BN23" t="n">
        <f>IF(OR(Personnes!$A23="",2&gt;Paramètres!$B$9),0,MAX(0,SUMIF($B$8:$B$247,Personnes!$A23,$F$8:$F$247)-'Planning par personne'!D23))</f>
        <v>0</v>
      </c>
      <c r="BO23" t="n">
        <f>IF(OR(Personnes!$A23="",3&gt;Paramètres!$B$9),0,MAX(0,SUMIF($B$8:$B$247,Personnes!$A23,$G$8:$G$247)-'Planning par personne'!E23))</f>
        <v>0</v>
      </c>
      <c r="BP23" t="n">
        <f>IF(OR(Personnes!$A23="",4&gt;Paramètres!$B$9),0,MAX(0,SUMIF($B$8:$B$247,Personnes!$A23,$H$8:$H$247)-'Planning par personne'!F23))</f>
        <v>0</v>
      </c>
      <c r="BQ23" t="n">
        <f>IF(OR(Personnes!$A23="",5&gt;Paramètres!$B$9),0,MAX(0,SUMIF($B$8:$B$247,Personnes!$A23,$I$8:$I$247)-'Planning par personne'!G23))</f>
        <v>0</v>
      </c>
      <c r="BR23" t="n">
        <f>IF(OR(Personnes!$A23="",6&gt;Paramètres!$B$9),0,MAX(0,SUMIF($B$8:$B$247,Personnes!$A23,$J$8:$J$247)-'Planning par personne'!H23))</f>
        <v>0</v>
      </c>
      <c r="BS23" t="n">
        <f>IF(OR(Personnes!$A23="",7&gt;Paramètres!$B$9),0,MAX(0,SUMIF($B$8:$B$247,Personnes!$A23,$K$8:$K$247)-'Planning par personne'!I23))</f>
        <v>0</v>
      </c>
      <c r="BT23" t="n">
        <f>IF(OR(Personnes!$A23="",8&gt;Paramètres!$B$9),0,MAX(0,SUMIF($B$8:$B$247,Personnes!$A23,$L$8:$L$247)-'Planning par personne'!J23))</f>
        <v>0</v>
      </c>
      <c r="BU23" t="n">
        <f>IF(OR(Personnes!$A23="",9&gt;Paramètres!$B$9),0,MAX(0,SUMIF($B$8:$B$247,Personnes!$A23,$M$8:$M$247)-'Planning par personne'!K23))</f>
        <v>0</v>
      </c>
      <c r="BV23" t="n">
        <f>IF(OR(Personnes!$A23="",10&gt;Paramètres!$B$9),0,MAX(0,SUMIF($B$8:$B$247,Personnes!$A23,$N$8:$N$247)-'Planning par personne'!L23))</f>
        <v>0</v>
      </c>
      <c r="BW23" t="n">
        <f>IF(OR(Personnes!$A23="",11&gt;Paramètres!$B$9),0,MAX(0,SUMIF($B$8:$B$247,Personnes!$A23,$O$8:$O$247)-'Planning par personne'!M23))</f>
        <v>0</v>
      </c>
      <c r="BX23" t="n">
        <f>IF(OR(Personnes!$A23="",12&gt;Paramètres!$B$9),0,MAX(0,SUMIF($B$8:$B$247,Personnes!$A23,$P$8:$P$247)-'Planning par personne'!N23))</f>
        <v>0</v>
      </c>
      <c r="BY23" t="n">
        <f>IF(OR(Personnes!$A23="",13&gt;Paramètres!$B$9),0,MAX(0,SUMIF($B$8:$B$247,Personnes!$A23,$Q$8:$Q$247)-'Planning par personne'!O23))</f>
        <v>0</v>
      </c>
      <c r="BZ23" t="n">
        <f>IF(OR(Personnes!$A23="",1&gt;Paramètres!$B$9),0,MAX(0,SUMIF($B$8:$B$247,Personnes!$A23,$AK$8:$AK$247)-'Planning par personne'!C23))</f>
        <v>0</v>
      </c>
      <c r="CA23" t="n">
        <f>IF(OR(Personnes!$A23="",2&gt;Paramètres!$B$9),0,MAX(0,SUMIF($B$8:$B$247,Personnes!$A23,$AL$8:$AL$247)-'Planning par personne'!D23))</f>
        <v>0</v>
      </c>
      <c r="CB23" t="n">
        <f>IF(OR(Personnes!$A23="",3&gt;Paramètres!$B$9),0,MAX(0,SUMIF($B$8:$B$247,Personnes!$A23,$AM$8:$AM$247)-'Planning par personne'!E23))</f>
        <v>0</v>
      </c>
      <c r="CC23" t="n">
        <f>IF(OR(Personnes!$A23="",4&gt;Paramètres!$B$9),0,MAX(0,SUMIF($B$8:$B$247,Personnes!$A23,$AN$8:$AN$247)-'Planning par personne'!F23))</f>
        <v>0</v>
      </c>
      <c r="CD23" t="n">
        <f>IF(OR(Personnes!$A23="",5&gt;Paramètres!$B$9),0,MAX(0,SUMIF($B$8:$B$247,Personnes!$A23,$AO$8:$AO$247)-'Planning par personne'!G23))</f>
        <v>0</v>
      </c>
      <c r="CE23" t="n">
        <f>IF(OR(Personnes!$A23="",6&gt;Paramètres!$B$9),0,MAX(0,SUMIF($B$8:$B$247,Personnes!$A23,$AP$8:$AP$247)-'Planning par personne'!H23))</f>
        <v>0</v>
      </c>
      <c r="CF23" t="n">
        <f>IF(OR(Personnes!$A23="",7&gt;Paramètres!$B$9),0,MAX(0,SUMIF($B$8:$B$247,Personnes!$A23,$AQ$8:$AQ$247)-'Planning par personne'!I23))</f>
        <v>0</v>
      </c>
      <c r="CG23" t="n">
        <f>IF(OR(Personnes!$A23="",8&gt;Paramètres!$B$9),0,MAX(0,SUMIF($B$8:$B$247,Personnes!$A23,$AR$8:$AR$247)-'Planning par personne'!J23))</f>
        <v>0</v>
      </c>
      <c r="CH23" t="n">
        <f>IF(OR(Personnes!$A23="",9&gt;Paramètres!$B$9),0,MAX(0,SUMIF($B$8:$B$247,Personnes!$A23,$AS$8:$AS$247)-'Planning par personne'!K23))</f>
        <v>0</v>
      </c>
      <c r="CI23" t="n">
        <f>IF(OR(Personnes!$A23="",10&gt;Paramètres!$B$9),0,MAX(0,SUMIF($B$8:$B$247,Personnes!$A23,$AT$8:$AT$247)-'Planning par personne'!L23))</f>
        <v>0</v>
      </c>
      <c r="CJ23" t="n">
        <f>IF(OR(Personnes!$A23="",11&gt;Paramètres!$B$9),0,MAX(0,SUMIF($B$8:$B$247,Personnes!$A23,$AU$8:$AU$247)-'Planning par personne'!M23))</f>
        <v>0</v>
      </c>
      <c r="CK23" t="n">
        <f>IF(OR(Personnes!$A23="",12&gt;Paramètres!$B$9),0,MAX(0,SUMIF($B$8:$B$247,Personnes!$A23,$AV$8:$AV$247)-'Planning par personne'!N23))</f>
        <v>0</v>
      </c>
      <c r="CL23" t="n">
        <f>IF(OR(Personnes!$A23="",13&gt;Paramètres!$B$9),0,MAX(0,SUMIF($B$8:$B$247,Personnes!$A23,$AW$8:$AW$247)-'Planning par personne'!O23))</f>
        <v>0</v>
      </c>
      <c r="CM23" t="n">
        <f>IF(OR(Personnes!$A23="",1&gt;Paramètres!$B$9),0,MAX(0,SUMIF($B$8:$B$247,Personnes!$A23,$AX$8:$AX$247)-'Planning par personne'!C23))</f>
        <v>0</v>
      </c>
      <c r="CN23" t="n">
        <f>IF(OR(Personnes!$A23="",2&gt;Paramètres!$B$9),0,MAX(0,SUMIF($B$8:$B$247,Personnes!$A23,$AY$8:$AY$247)-'Planning par personne'!D23))</f>
        <v>0</v>
      </c>
      <c r="CO23" t="n">
        <f>IF(OR(Personnes!$A23="",3&gt;Paramètres!$B$9),0,MAX(0,SUMIF($B$8:$B$247,Personnes!$A23,$AZ$8:$AZ$247)-'Planning par personne'!E23))</f>
        <v>0</v>
      </c>
      <c r="CP23" t="n">
        <f>IF(OR(Personnes!$A23="",4&gt;Paramètres!$B$9),0,MAX(0,SUMIF($B$8:$B$247,Personnes!$A23,$BA$8:$BA$247)-'Planning par personne'!F23))</f>
        <v>0</v>
      </c>
      <c r="CQ23" t="n">
        <f>IF(OR(Personnes!$A23="",5&gt;Paramètres!$B$9),0,MAX(0,SUMIF($B$8:$B$247,Personnes!$A23,$BB$8:$BB$247)-'Planning par personne'!G23))</f>
        <v>0</v>
      </c>
      <c r="CR23" t="n">
        <f>IF(OR(Personnes!$A23="",6&gt;Paramètres!$B$9),0,MAX(0,SUMIF($B$8:$B$247,Personnes!$A23,$BC$8:$BC$247)-'Planning par personne'!H23))</f>
        <v>0</v>
      </c>
      <c r="CS23" t="n">
        <f>IF(OR(Personnes!$A23="",7&gt;Paramètres!$B$9),0,MAX(0,SUMIF($B$8:$B$247,Personnes!$A23,$BD$8:$BD$247)-'Planning par personne'!I23))</f>
        <v>0</v>
      </c>
      <c r="CT23" t="n">
        <f>IF(OR(Personnes!$A23="",8&gt;Paramètres!$B$9),0,MAX(0,SUMIF($B$8:$B$247,Personnes!$A23,$BE$8:$BE$247)-'Planning par personne'!J23))</f>
        <v>0</v>
      </c>
      <c r="CU23" t="n">
        <f>IF(OR(Personnes!$A23="",9&gt;Paramètres!$B$9),0,MAX(0,SUMIF($B$8:$B$247,Personnes!$A23,$BF$8:$BF$247)-'Planning par personne'!K23))</f>
        <v>0</v>
      </c>
      <c r="CV23" t="n">
        <f>IF(OR(Personnes!$A23="",10&gt;Paramètres!$B$9),0,MAX(0,SUMIF($B$8:$B$247,Personnes!$A23,$BG$8:$BG$247)-'Planning par personne'!L23))</f>
        <v>0</v>
      </c>
      <c r="CW23" t="n">
        <f>IF(OR(Personnes!$A23="",11&gt;Paramètres!$B$9),0,MAX(0,SUMIF($B$8:$B$247,Personnes!$A23,$BH$8:$BH$247)-'Planning par personne'!M23))</f>
        <v>0</v>
      </c>
      <c r="CX23" t="n">
        <f>IF(OR(Personnes!$A23="",12&gt;Paramètres!$B$9),0,MAX(0,SUMIF($B$8:$B$247,Personnes!$A23,$BI$8:$BI$247)-'Planning par personne'!N23))</f>
        <v>0</v>
      </c>
      <c r="CY23" t="n">
        <f>IF(OR(Personnes!$A23="",13&gt;Paramètres!$B$9),0,MAX(0,SUMIF($B$8:$B$247,Personnes!$A23,$BJ$8:$BJ$247)-'Planning par personne'!O23))</f>
        <v>0</v>
      </c>
      <c r="DJ23" t="n">
        <f>SUM(BM23:BY23)</f>
        <v>0</v>
      </c>
      <c r="DK23" t="n">
        <f>SUM(BZ23:CL23)</f>
        <v>0</v>
      </c>
      <c r="DL23" t="n">
        <f>SUM(CM23:CY23)</f>
        <v>0</v>
      </c>
      <c r="DM23" t="str">
        <f>IF(AND(Projets!A23&lt;&gt;"",Projets!G23="Engager"),DM22&amp;IF(DM22="","",", ")&amp;Projets!B23,DM22)</f>
        <v/>
      </c>
      <c r="DN23" t="str">
        <f>IF(AND(Projets!A23&lt;&gt;"",Projets!G23="Reporter"),DN22&amp;IF(DN22="","",", ")&amp;Projets!B23,DN22)</f>
        <v/>
      </c>
    </row>
    <row r="24">
      <c r="A24" t="n">
        <f>Charges!A24</f>
        <v>0</v>
      </c>
      <c r="B24" t="n">
        <f>Charges!C24</f>
        <v>0</v>
      </c>
      <c r="C24" t="str">
        <f>Charges!D24</f>
        <v/>
      </c>
      <c r="E24" t="n">
        <f>IF(1&lt;=Paramètres!$B$9,MAX(0,IFERROR(N(IF(ISNUMBER(Charges!F24),MAX(0,Charges!F24),IFERROR(VLOOKUP(Charges!F24,Paramètres!$A$15:$B$18,2,FALSE),0))),0)),0)</f>
        <v>0</v>
      </c>
      <c r="F24" t="n">
        <f>IF(2&lt;=Paramètres!$B$9,MAX(0,IFERROR(N(IF(ISNUMBER(Charges!G24),MAX(0,Charges!G24),IFERROR(VLOOKUP(Charges!G24,Paramètres!$A$15:$B$18,2,FALSE),0))),0)),0)</f>
        <v>0</v>
      </c>
      <c r="G24" t="n">
        <f>IF(3&lt;=Paramètres!$B$9,MAX(0,IFERROR(N(IF(ISNUMBER(Charges!H24),MAX(0,Charges!H24),IFERROR(VLOOKUP(Charges!H24,Paramètres!$A$15:$B$18,2,FALSE),0))),0)),0)</f>
        <v>0</v>
      </c>
      <c r="H24" t="n">
        <f>IF(4&lt;=Paramètres!$B$9,MAX(0,IFERROR(N(IF(ISNUMBER(Charges!I24),MAX(0,Charges!I24),IFERROR(VLOOKUP(Charges!I24,Paramètres!$A$15:$B$18,2,FALSE),0))),0)),0)</f>
        <v>0</v>
      </c>
      <c r="I24" t="n">
        <f>IF(5&lt;=Paramètres!$B$9,MAX(0,IFERROR(N(IF(ISNUMBER(Charges!J24),MAX(0,Charges!J24),IFERROR(VLOOKUP(Charges!J24,Paramètres!$A$15:$B$18,2,FALSE),0))),0)),0)</f>
        <v>0</v>
      </c>
      <c r="J24" t="n">
        <f>IF(6&lt;=Paramètres!$B$9,MAX(0,IFERROR(N(IF(ISNUMBER(Charges!K24),MAX(0,Charges!K24),IFERROR(VLOOKUP(Charges!K24,Paramètres!$A$15:$B$18,2,FALSE),0))),0)),0)</f>
        <v>0</v>
      </c>
      <c r="K24" t="n">
        <f>IF(7&lt;=Paramètres!$B$9,MAX(0,IFERROR(N(IF(ISNUMBER(Charges!L24),MAX(0,Charges!L24),IFERROR(VLOOKUP(Charges!L24,Paramètres!$A$15:$B$18,2,FALSE),0))),0)),0)</f>
        <v>0</v>
      </c>
      <c r="L24" t="n">
        <f>IF(8&lt;=Paramètres!$B$9,MAX(0,IFERROR(N(IF(ISNUMBER(Charges!M24),MAX(0,Charges!M24),IFERROR(VLOOKUP(Charges!M24,Paramètres!$A$15:$B$18,2,FALSE),0))),0)),0)</f>
        <v>0</v>
      </c>
      <c r="M24" t="n">
        <f>IF(9&lt;=Paramètres!$B$9,MAX(0,IFERROR(N(IF(ISNUMBER(Charges!N24),MAX(0,Charges!N24),IFERROR(VLOOKUP(Charges!N24,Paramètres!$A$15:$B$18,2,FALSE),0))),0)),0)</f>
        <v>0</v>
      </c>
      <c r="N24" t="n">
        <f>IF(10&lt;=Paramètres!$B$9,MAX(0,IFERROR(N(IF(ISNUMBER(Charges!O24),MAX(0,Charges!O24),IFERROR(VLOOKUP(Charges!O24,Paramètres!$A$15:$B$18,2,FALSE),0))),0)),0)</f>
        <v>0</v>
      </c>
      <c r="O24" t="n">
        <f>IF(11&lt;=Paramètres!$B$9,MAX(0,IFERROR(N(IF(ISNUMBER(Charges!P24),MAX(0,Charges!P24),IFERROR(VLOOKUP(Charges!P24,Paramètres!$A$15:$B$18,2,FALSE),0))),0)),0)</f>
        <v>0</v>
      </c>
      <c r="P24" t="n">
        <f>IF(12&lt;=Paramètres!$B$9,MAX(0,IFERROR(N(IF(ISNUMBER(Charges!Q24),MAX(0,Charges!Q24),IFERROR(VLOOKUP(Charges!Q24,Paramètres!$A$15:$B$18,2,FALSE),0))),0)),0)</f>
        <v>0</v>
      </c>
      <c r="Q24" t="n">
        <f>IF(13&lt;=Paramètres!$B$9,MAX(0,IFERROR(N(IF(ISNUMBER(Charges!R24),MAX(0,Charges!R24),IFERROR(VLOOKUP(Charges!R24,Paramètres!$A$15:$B$18,2,FALSE),0))),0)),0)</f>
        <v>0</v>
      </c>
      <c r="R24" t="n">
        <f>SUM(E24:Q24)</f>
        <v>0</v>
      </c>
      <c r="S24" t="n">
        <f>IF(IFERROR(VLOOKUP(A24,'Projets'!$A$8:$Z$67,7,FALSE),"")="Engager",1,0)</f>
        <v>0</v>
      </c>
      <c r="T24" t="n">
        <f>IF(OR(Charges!F24="",AND(ISNUMBER(Charges!F24),Charges!F24&gt;=0),Charges!F24="S",Charges!F24="M",Charges!F24="L",Charges!F24="XL"),0,1)+IF(OR(Charges!G24="",AND(ISNUMBER(Charges!G24),Charges!G24&gt;=0),Charges!G24="S",Charges!G24="M",Charges!G24="L",Charges!G24="XL"),0,1)+IF(OR(Charges!H24="",AND(ISNUMBER(Charges!H24),Charges!H24&gt;=0),Charges!H24="S",Charges!H24="M",Charges!H24="L",Charges!H24="XL"),0,1)+IF(OR(Charges!I24="",AND(ISNUMBER(Charges!I24),Charges!I24&gt;=0),Charges!I24="S",Charges!I24="M",Charges!I24="L",Charges!I24="XL"),0,1)+IF(OR(Charges!J24="",AND(ISNUMBER(Charges!J24),Charges!J24&gt;=0),Charges!J24="S",Charges!J24="M",Charges!J24="L",Charges!J24="XL"),0,1)+IF(OR(Charges!K24="",AND(ISNUMBER(Charges!K24),Charges!K24&gt;=0),Charges!K24="S",Charges!K24="M",Charges!K24="L",Charges!K24="XL"),0,1)+IF(OR(Charges!L24="",AND(ISNUMBER(Charges!L24),Charges!L24&gt;=0),Charges!L24="S",Charges!L24="M",Charges!L24="L",Charges!L24="XL"),0,1)+IF(OR(Charges!M24="",AND(ISNUMBER(Charges!M24),Charges!M24&gt;=0),Charges!M24="S",Charges!M24="M",Charges!M24="L",Charges!M24="XL"),0,1)+IF(OR(Charges!N24="",AND(ISNUMBER(Charges!N24),Charges!N24&gt;=0),Charges!N24="S",Charges!N24="M",Charges!N24="L",Charges!N24="XL"),0,1)+IF(OR(Charges!O24="",AND(ISNUMBER(Charges!O24),Charges!O24&gt;=0),Charges!O24="S",Charges!O24="M",Charges!O24="L",Charges!O24="XL"),0,1)+IF(OR(Charges!P24="",AND(ISNUMBER(Charges!P24),Charges!P24&gt;=0),Charges!P24="S",Charges!P24="M",Charges!P24="L",Charges!P24="XL"),0,1)+IF(OR(Charges!Q24="",AND(ISNUMBER(Charges!Q24),Charges!Q24&gt;=0),Charges!Q24="S",Charges!Q24="M",Charges!Q24="L",Charges!Q24="XL"),0,1)+IF(OR(Charges!R24="",AND(ISNUMBER(Charges!R24),Charges!R24&gt;=0),Charges!R24="S",Charges!R24="M",Charges!R24="L",Charges!R24="XL"),0,1)</f>
        <v>0</v>
      </c>
      <c r="U24" t="n">
        <f>IF(AND(1&gt;Paramètres!$B$9,Charges!F24&lt;&gt;"",Charges!F24&lt;&gt;0),1,0)+IF(AND(2&gt;Paramètres!$B$9,Charges!G24&lt;&gt;"",Charges!G24&lt;&gt;0),1,0)+IF(AND(3&gt;Paramètres!$B$9,Charges!H24&lt;&gt;"",Charges!H24&lt;&gt;0),1,0)+IF(AND(4&gt;Paramètres!$B$9,Charges!I24&lt;&gt;"",Charges!I24&lt;&gt;0),1,0)+IF(AND(5&gt;Paramètres!$B$9,Charges!J24&lt;&gt;"",Charges!J24&lt;&gt;0),1,0)+IF(AND(6&gt;Paramètres!$B$9,Charges!K24&lt;&gt;"",Charges!K24&lt;&gt;0),1,0)+IF(AND(7&gt;Paramètres!$B$9,Charges!L24&lt;&gt;"",Charges!L24&lt;&gt;0),1,0)+IF(AND(8&gt;Paramètres!$B$9,Charges!M24&lt;&gt;"",Charges!M24&lt;&gt;0),1,0)+IF(AND(9&gt;Paramètres!$B$9,Charges!N24&lt;&gt;"",Charges!N24&lt;&gt;0),1,0)+IF(AND(10&gt;Paramètres!$B$9,Charges!O24&lt;&gt;"",Charges!O24&lt;&gt;0),1,0)+IF(AND(11&gt;Paramètres!$B$9,Charges!P24&lt;&gt;"",Charges!P24&lt;&gt;0),1,0)+IF(AND(12&gt;Paramètres!$B$9,Charges!Q24&lt;&gt;"",Charges!Q24&lt;&gt;0),1,0)+IF(AND(13&gt;Paramètres!$B$9,Charges!R24&lt;&gt;"",Charges!R24&lt;&gt;0),1,0)</f>
        <v>0</v>
      </c>
      <c r="V24" t="n">
        <f>IF(IFERROR(VLOOKUP(A24,'Projets'!$A$8:$Z$67,5,FALSE),"")="Engager",1,0)</f>
        <v>0</v>
      </c>
      <c r="W24" t="n">
        <f>IF(IFERROR(VLOOKUP(A24,'Projets'!$A$8:$Z$67,6,FALSE),"")="Engager",1,0)</f>
        <v>0</v>
      </c>
      <c r="X24" t="n">
        <f>E24*S24</f>
        <v>0</v>
      </c>
      <c r="Y24" t="n">
        <f>F24*S24</f>
        <v>0</v>
      </c>
      <c r="Z24" t="n">
        <f>G24*S24</f>
        <v>0</v>
      </c>
      <c r="AA24" t="n">
        <f>H24*S24</f>
        <v>0</v>
      </c>
      <c r="AB24" t="n">
        <f>I24*S24</f>
        <v>0</v>
      </c>
      <c r="AC24" t="n">
        <f>J24*S24</f>
        <v>0</v>
      </c>
      <c r="AD24" t="n">
        <f>K24*S24</f>
        <v>0</v>
      </c>
      <c r="AE24" t="n">
        <f>L24*S24</f>
        <v>0</v>
      </c>
      <c r="AF24" t="n">
        <f>M24*S24</f>
        <v>0</v>
      </c>
      <c r="AG24" t="n">
        <f>N24*S24</f>
        <v>0</v>
      </c>
      <c r="AH24" t="n">
        <f>O24*S24</f>
        <v>0</v>
      </c>
      <c r="AI24" t="n">
        <f>P24*S24</f>
        <v>0</v>
      </c>
      <c r="AJ24" t="n">
        <f>Q24*S24</f>
        <v>0</v>
      </c>
      <c r="AK24" t="n">
        <f>E24*V24</f>
        <v>0</v>
      </c>
      <c r="AL24" t="n">
        <f>F24*V24</f>
        <v>0</v>
      </c>
      <c r="AM24" t="n">
        <f>G24*V24</f>
        <v>0</v>
      </c>
      <c r="AN24" t="n">
        <f>H24*V24</f>
        <v>0</v>
      </c>
      <c r="AO24" t="n">
        <f>I24*V24</f>
        <v>0</v>
      </c>
      <c r="AP24" t="n">
        <f>J24*V24</f>
        <v>0</v>
      </c>
      <c r="AQ24" t="n">
        <f>K24*V24</f>
        <v>0</v>
      </c>
      <c r="AR24" t="n">
        <f>L24*V24</f>
        <v>0</v>
      </c>
      <c r="AS24" t="n">
        <f>M24*V24</f>
        <v>0</v>
      </c>
      <c r="AT24" t="n">
        <f>N24*V24</f>
        <v>0</v>
      </c>
      <c r="AU24" t="n">
        <f>O24*V24</f>
        <v>0</v>
      </c>
      <c r="AV24" t="n">
        <f>P24*V24</f>
        <v>0</v>
      </c>
      <c r="AW24" t="n">
        <f>Q24*V24</f>
        <v>0</v>
      </c>
      <c r="AX24" t="n">
        <f>E24*W24</f>
        <v>0</v>
      </c>
      <c r="AY24" t="n">
        <f>F24*W24</f>
        <v>0</v>
      </c>
      <c r="AZ24" t="n">
        <f>G24*W24</f>
        <v>0</v>
      </c>
      <c r="BA24" t="n">
        <f>H24*W24</f>
        <v>0</v>
      </c>
      <c r="BB24" t="n">
        <f>I24*W24</f>
        <v>0</v>
      </c>
      <c r="BC24" t="n">
        <f>J24*W24</f>
        <v>0</v>
      </c>
      <c r="BD24" t="n">
        <f>K24*W24</f>
        <v>0</v>
      </c>
      <c r="BE24" t="n">
        <f>L24*W24</f>
        <v>0</v>
      </c>
      <c r="BF24" t="n">
        <f>M24*W24</f>
        <v>0</v>
      </c>
      <c r="BG24" t="n">
        <f>N24*W24</f>
        <v>0</v>
      </c>
      <c r="BH24" t="n">
        <f>O24*W24</f>
        <v>0</v>
      </c>
      <c r="BI24" t="n">
        <f>P24*W24</f>
        <v>0</v>
      </c>
      <c r="BJ24" t="n">
        <f>Q24*W24</f>
        <v>0</v>
      </c>
      <c r="BM24" t="n">
        <f>IF(OR(Personnes!$A24="",1&gt;Paramètres!$B$9),0,MAX(0,SUMIF($B$8:$B$247,Personnes!$A24,$E$8:$E$247)-'Planning par personne'!C24))</f>
        <v>0</v>
      </c>
      <c r="BN24" t="n">
        <f>IF(OR(Personnes!$A24="",2&gt;Paramètres!$B$9),0,MAX(0,SUMIF($B$8:$B$247,Personnes!$A24,$F$8:$F$247)-'Planning par personne'!D24))</f>
        <v>0</v>
      </c>
      <c r="BO24" t="n">
        <f>IF(OR(Personnes!$A24="",3&gt;Paramètres!$B$9),0,MAX(0,SUMIF($B$8:$B$247,Personnes!$A24,$G$8:$G$247)-'Planning par personne'!E24))</f>
        <v>0</v>
      </c>
      <c r="BP24" t="n">
        <f>IF(OR(Personnes!$A24="",4&gt;Paramètres!$B$9),0,MAX(0,SUMIF($B$8:$B$247,Personnes!$A24,$H$8:$H$247)-'Planning par personne'!F24))</f>
        <v>0</v>
      </c>
      <c r="BQ24" t="n">
        <f>IF(OR(Personnes!$A24="",5&gt;Paramètres!$B$9),0,MAX(0,SUMIF($B$8:$B$247,Personnes!$A24,$I$8:$I$247)-'Planning par personne'!G24))</f>
        <v>0</v>
      </c>
      <c r="BR24" t="n">
        <f>IF(OR(Personnes!$A24="",6&gt;Paramètres!$B$9),0,MAX(0,SUMIF($B$8:$B$247,Personnes!$A24,$J$8:$J$247)-'Planning par personne'!H24))</f>
        <v>0</v>
      </c>
      <c r="BS24" t="n">
        <f>IF(OR(Personnes!$A24="",7&gt;Paramètres!$B$9),0,MAX(0,SUMIF($B$8:$B$247,Personnes!$A24,$K$8:$K$247)-'Planning par personne'!I24))</f>
        <v>0</v>
      </c>
      <c r="BT24" t="n">
        <f>IF(OR(Personnes!$A24="",8&gt;Paramètres!$B$9),0,MAX(0,SUMIF($B$8:$B$247,Personnes!$A24,$L$8:$L$247)-'Planning par personne'!J24))</f>
        <v>0</v>
      </c>
      <c r="BU24" t="n">
        <f>IF(OR(Personnes!$A24="",9&gt;Paramètres!$B$9),0,MAX(0,SUMIF($B$8:$B$247,Personnes!$A24,$M$8:$M$247)-'Planning par personne'!K24))</f>
        <v>0</v>
      </c>
      <c r="BV24" t="n">
        <f>IF(OR(Personnes!$A24="",10&gt;Paramètres!$B$9),0,MAX(0,SUMIF($B$8:$B$247,Personnes!$A24,$N$8:$N$247)-'Planning par personne'!L24))</f>
        <v>0</v>
      </c>
      <c r="BW24" t="n">
        <f>IF(OR(Personnes!$A24="",11&gt;Paramètres!$B$9),0,MAX(0,SUMIF($B$8:$B$247,Personnes!$A24,$O$8:$O$247)-'Planning par personne'!M24))</f>
        <v>0</v>
      </c>
      <c r="BX24" t="n">
        <f>IF(OR(Personnes!$A24="",12&gt;Paramètres!$B$9),0,MAX(0,SUMIF($B$8:$B$247,Personnes!$A24,$P$8:$P$247)-'Planning par personne'!N24))</f>
        <v>0</v>
      </c>
      <c r="BY24" t="n">
        <f>IF(OR(Personnes!$A24="",13&gt;Paramètres!$B$9),0,MAX(0,SUMIF($B$8:$B$247,Personnes!$A24,$Q$8:$Q$247)-'Planning par personne'!O24))</f>
        <v>0</v>
      </c>
      <c r="BZ24" t="n">
        <f>IF(OR(Personnes!$A24="",1&gt;Paramètres!$B$9),0,MAX(0,SUMIF($B$8:$B$247,Personnes!$A24,$AK$8:$AK$247)-'Planning par personne'!C24))</f>
        <v>0</v>
      </c>
      <c r="CA24" t="n">
        <f>IF(OR(Personnes!$A24="",2&gt;Paramètres!$B$9),0,MAX(0,SUMIF($B$8:$B$247,Personnes!$A24,$AL$8:$AL$247)-'Planning par personne'!D24))</f>
        <v>0</v>
      </c>
      <c r="CB24" t="n">
        <f>IF(OR(Personnes!$A24="",3&gt;Paramètres!$B$9),0,MAX(0,SUMIF($B$8:$B$247,Personnes!$A24,$AM$8:$AM$247)-'Planning par personne'!E24))</f>
        <v>0</v>
      </c>
      <c r="CC24" t="n">
        <f>IF(OR(Personnes!$A24="",4&gt;Paramètres!$B$9),0,MAX(0,SUMIF($B$8:$B$247,Personnes!$A24,$AN$8:$AN$247)-'Planning par personne'!F24))</f>
        <v>0</v>
      </c>
      <c r="CD24" t="n">
        <f>IF(OR(Personnes!$A24="",5&gt;Paramètres!$B$9),0,MAX(0,SUMIF($B$8:$B$247,Personnes!$A24,$AO$8:$AO$247)-'Planning par personne'!G24))</f>
        <v>0</v>
      </c>
      <c r="CE24" t="n">
        <f>IF(OR(Personnes!$A24="",6&gt;Paramètres!$B$9),0,MAX(0,SUMIF($B$8:$B$247,Personnes!$A24,$AP$8:$AP$247)-'Planning par personne'!H24))</f>
        <v>0</v>
      </c>
      <c r="CF24" t="n">
        <f>IF(OR(Personnes!$A24="",7&gt;Paramètres!$B$9),0,MAX(0,SUMIF($B$8:$B$247,Personnes!$A24,$AQ$8:$AQ$247)-'Planning par personne'!I24))</f>
        <v>0</v>
      </c>
      <c r="CG24" t="n">
        <f>IF(OR(Personnes!$A24="",8&gt;Paramètres!$B$9),0,MAX(0,SUMIF($B$8:$B$247,Personnes!$A24,$AR$8:$AR$247)-'Planning par personne'!J24))</f>
        <v>0</v>
      </c>
      <c r="CH24" t="n">
        <f>IF(OR(Personnes!$A24="",9&gt;Paramètres!$B$9),0,MAX(0,SUMIF($B$8:$B$247,Personnes!$A24,$AS$8:$AS$247)-'Planning par personne'!K24))</f>
        <v>0</v>
      </c>
      <c r="CI24" t="n">
        <f>IF(OR(Personnes!$A24="",10&gt;Paramètres!$B$9),0,MAX(0,SUMIF($B$8:$B$247,Personnes!$A24,$AT$8:$AT$247)-'Planning par personne'!L24))</f>
        <v>0</v>
      </c>
      <c r="CJ24" t="n">
        <f>IF(OR(Personnes!$A24="",11&gt;Paramètres!$B$9),0,MAX(0,SUMIF($B$8:$B$247,Personnes!$A24,$AU$8:$AU$247)-'Planning par personne'!M24))</f>
        <v>0</v>
      </c>
      <c r="CK24" t="n">
        <f>IF(OR(Personnes!$A24="",12&gt;Paramètres!$B$9),0,MAX(0,SUMIF($B$8:$B$247,Personnes!$A24,$AV$8:$AV$247)-'Planning par personne'!N24))</f>
        <v>0</v>
      </c>
      <c r="CL24" t="n">
        <f>IF(OR(Personnes!$A24="",13&gt;Paramètres!$B$9),0,MAX(0,SUMIF($B$8:$B$247,Personnes!$A24,$AW$8:$AW$247)-'Planning par personne'!O24))</f>
        <v>0</v>
      </c>
      <c r="CM24" t="n">
        <f>IF(OR(Personnes!$A24="",1&gt;Paramètres!$B$9),0,MAX(0,SUMIF($B$8:$B$247,Personnes!$A24,$AX$8:$AX$247)-'Planning par personne'!C24))</f>
        <v>0</v>
      </c>
      <c r="CN24" t="n">
        <f>IF(OR(Personnes!$A24="",2&gt;Paramètres!$B$9),0,MAX(0,SUMIF($B$8:$B$247,Personnes!$A24,$AY$8:$AY$247)-'Planning par personne'!D24))</f>
        <v>0</v>
      </c>
      <c r="CO24" t="n">
        <f>IF(OR(Personnes!$A24="",3&gt;Paramètres!$B$9),0,MAX(0,SUMIF($B$8:$B$247,Personnes!$A24,$AZ$8:$AZ$247)-'Planning par personne'!E24))</f>
        <v>0</v>
      </c>
      <c r="CP24" t="n">
        <f>IF(OR(Personnes!$A24="",4&gt;Paramètres!$B$9),0,MAX(0,SUMIF($B$8:$B$247,Personnes!$A24,$BA$8:$BA$247)-'Planning par personne'!F24))</f>
        <v>0</v>
      </c>
      <c r="CQ24" t="n">
        <f>IF(OR(Personnes!$A24="",5&gt;Paramètres!$B$9),0,MAX(0,SUMIF($B$8:$B$247,Personnes!$A24,$BB$8:$BB$247)-'Planning par personne'!G24))</f>
        <v>0</v>
      </c>
      <c r="CR24" t="n">
        <f>IF(OR(Personnes!$A24="",6&gt;Paramètres!$B$9),0,MAX(0,SUMIF($B$8:$B$247,Personnes!$A24,$BC$8:$BC$247)-'Planning par personne'!H24))</f>
        <v>0</v>
      </c>
      <c r="CS24" t="n">
        <f>IF(OR(Personnes!$A24="",7&gt;Paramètres!$B$9),0,MAX(0,SUMIF($B$8:$B$247,Personnes!$A24,$BD$8:$BD$247)-'Planning par personne'!I24))</f>
        <v>0</v>
      </c>
      <c r="CT24" t="n">
        <f>IF(OR(Personnes!$A24="",8&gt;Paramètres!$B$9),0,MAX(0,SUMIF($B$8:$B$247,Personnes!$A24,$BE$8:$BE$247)-'Planning par personne'!J24))</f>
        <v>0</v>
      </c>
      <c r="CU24" t="n">
        <f>IF(OR(Personnes!$A24="",9&gt;Paramètres!$B$9),0,MAX(0,SUMIF($B$8:$B$247,Personnes!$A24,$BF$8:$BF$247)-'Planning par personne'!K24))</f>
        <v>0</v>
      </c>
      <c r="CV24" t="n">
        <f>IF(OR(Personnes!$A24="",10&gt;Paramètres!$B$9),0,MAX(0,SUMIF($B$8:$B$247,Personnes!$A24,$BG$8:$BG$247)-'Planning par personne'!L24))</f>
        <v>0</v>
      </c>
      <c r="CW24" t="n">
        <f>IF(OR(Personnes!$A24="",11&gt;Paramètres!$B$9),0,MAX(0,SUMIF($B$8:$B$247,Personnes!$A24,$BH$8:$BH$247)-'Planning par personne'!M24))</f>
        <v>0</v>
      </c>
      <c r="CX24" t="n">
        <f>IF(OR(Personnes!$A24="",12&gt;Paramètres!$B$9),0,MAX(0,SUMIF($B$8:$B$247,Personnes!$A24,$BI$8:$BI$247)-'Planning par personne'!N24))</f>
        <v>0</v>
      </c>
      <c r="CY24" t="n">
        <f>IF(OR(Personnes!$A24="",13&gt;Paramètres!$B$9),0,MAX(0,SUMIF($B$8:$B$247,Personnes!$A24,$BJ$8:$BJ$247)-'Planning par personne'!O24))</f>
        <v>0</v>
      </c>
      <c r="DJ24" t="n">
        <f>SUM(BM24:BY24)</f>
        <v>0</v>
      </c>
      <c r="DK24" t="n">
        <f>SUM(BZ24:CL24)</f>
        <v>0</v>
      </c>
      <c r="DL24" t="n">
        <f>SUM(CM24:CY24)</f>
        <v>0</v>
      </c>
      <c r="DM24" t="str">
        <f>IF(AND(Projets!A24&lt;&gt;"",Projets!G24="Engager"),DM23&amp;IF(DM23="","",", ")&amp;Projets!B24,DM23)</f>
        <v/>
      </c>
      <c r="DN24" t="str">
        <f>IF(AND(Projets!A24&lt;&gt;"",Projets!G24="Reporter"),DN23&amp;IF(DN23="","",", ")&amp;Projets!B24,DN23)</f>
        <v/>
      </c>
    </row>
    <row r="25">
      <c r="A25" t="n">
        <f>Charges!A25</f>
        <v>0</v>
      </c>
      <c r="B25" t="n">
        <f>Charges!C25</f>
        <v>0</v>
      </c>
      <c r="C25" t="str">
        <f>Charges!D25</f>
        <v/>
      </c>
      <c r="E25" t="n">
        <f>IF(1&lt;=Paramètres!$B$9,MAX(0,IFERROR(N(IF(ISNUMBER(Charges!F25),MAX(0,Charges!F25),IFERROR(VLOOKUP(Charges!F25,Paramètres!$A$15:$B$18,2,FALSE),0))),0)),0)</f>
        <v>0</v>
      </c>
      <c r="F25" t="n">
        <f>IF(2&lt;=Paramètres!$B$9,MAX(0,IFERROR(N(IF(ISNUMBER(Charges!G25),MAX(0,Charges!G25),IFERROR(VLOOKUP(Charges!G25,Paramètres!$A$15:$B$18,2,FALSE),0))),0)),0)</f>
        <v>0</v>
      </c>
      <c r="G25" t="n">
        <f>IF(3&lt;=Paramètres!$B$9,MAX(0,IFERROR(N(IF(ISNUMBER(Charges!H25),MAX(0,Charges!H25),IFERROR(VLOOKUP(Charges!H25,Paramètres!$A$15:$B$18,2,FALSE),0))),0)),0)</f>
        <v>0</v>
      </c>
      <c r="H25" t="n">
        <f>IF(4&lt;=Paramètres!$B$9,MAX(0,IFERROR(N(IF(ISNUMBER(Charges!I25),MAX(0,Charges!I25),IFERROR(VLOOKUP(Charges!I25,Paramètres!$A$15:$B$18,2,FALSE),0))),0)),0)</f>
        <v>0</v>
      </c>
      <c r="I25" t="n">
        <f>IF(5&lt;=Paramètres!$B$9,MAX(0,IFERROR(N(IF(ISNUMBER(Charges!J25),MAX(0,Charges!J25),IFERROR(VLOOKUP(Charges!J25,Paramètres!$A$15:$B$18,2,FALSE),0))),0)),0)</f>
        <v>0</v>
      </c>
      <c r="J25" t="n">
        <f>IF(6&lt;=Paramètres!$B$9,MAX(0,IFERROR(N(IF(ISNUMBER(Charges!K25),MAX(0,Charges!K25),IFERROR(VLOOKUP(Charges!K25,Paramètres!$A$15:$B$18,2,FALSE),0))),0)),0)</f>
        <v>0</v>
      </c>
      <c r="K25" t="n">
        <f>IF(7&lt;=Paramètres!$B$9,MAX(0,IFERROR(N(IF(ISNUMBER(Charges!L25),MAX(0,Charges!L25),IFERROR(VLOOKUP(Charges!L25,Paramètres!$A$15:$B$18,2,FALSE),0))),0)),0)</f>
        <v>0</v>
      </c>
      <c r="L25" t="n">
        <f>IF(8&lt;=Paramètres!$B$9,MAX(0,IFERROR(N(IF(ISNUMBER(Charges!M25),MAX(0,Charges!M25),IFERROR(VLOOKUP(Charges!M25,Paramètres!$A$15:$B$18,2,FALSE),0))),0)),0)</f>
        <v>0</v>
      </c>
      <c r="M25" t="n">
        <f>IF(9&lt;=Paramètres!$B$9,MAX(0,IFERROR(N(IF(ISNUMBER(Charges!N25),MAX(0,Charges!N25),IFERROR(VLOOKUP(Charges!N25,Paramètres!$A$15:$B$18,2,FALSE),0))),0)),0)</f>
        <v>0</v>
      </c>
      <c r="N25" t="n">
        <f>IF(10&lt;=Paramètres!$B$9,MAX(0,IFERROR(N(IF(ISNUMBER(Charges!O25),MAX(0,Charges!O25),IFERROR(VLOOKUP(Charges!O25,Paramètres!$A$15:$B$18,2,FALSE),0))),0)),0)</f>
        <v>0</v>
      </c>
      <c r="O25" t="n">
        <f>IF(11&lt;=Paramètres!$B$9,MAX(0,IFERROR(N(IF(ISNUMBER(Charges!P25),MAX(0,Charges!P25),IFERROR(VLOOKUP(Charges!P25,Paramètres!$A$15:$B$18,2,FALSE),0))),0)),0)</f>
        <v>0</v>
      </c>
      <c r="P25" t="n">
        <f>IF(12&lt;=Paramètres!$B$9,MAX(0,IFERROR(N(IF(ISNUMBER(Charges!Q25),MAX(0,Charges!Q25),IFERROR(VLOOKUP(Charges!Q25,Paramètres!$A$15:$B$18,2,FALSE),0))),0)),0)</f>
        <v>0</v>
      </c>
      <c r="Q25" t="n">
        <f>IF(13&lt;=Paramètres!$B$9,MAX(0,IFERROR(N(IF(ISNUMBER(Charges!R25),MAX(0,Charges!R25),IFERROR(VLOOKUP(Charges!R25,Paramètres!$A$15:$B$18,2,FALSE),0))),0)),0)</f>
        <v>0</v>
      </c>
      <c r="R25" t="n">
        <f>SUM(E25:Q25)</f>
        <v>0</v>
      </c>
      <c r="S25" t="n">
        <f>IF(IFERROR(VLOOKUP(A25,'Projets'!$A$8:$Z$67,7,FALSE),"")="Engager",1,0)</f>
        <v>0</v>
      </c>
      <c r="T25" t="n">
        <f>IF(OR(Charges!F25="",AND(ISNUMBER(Charges!F25),Charges!F25&gt;=0),Charges!F25="S",Charges!F25="M",Charges!F25="L",Charges!F25="XL"),0,1)+IF(OR(Charges!G25="",AND(ISNUMBER(Charges!G25),Charges!G25&gt;=0),Charges!G25="S",Charges!G25="M",Charges!G25="L",Charges!G25="XL"),0,1)+IF(OR(Charges!H25="",AND(ISNUMBER(Charges!H25),Charges!H25&gt;=0),Charges!H25="S",Charges!H25="M",Charges!H25="L",Charges!H25="XL"),0,1)+IF(OR(Charges!I25="",AND(ISNUMBER(Charges!I25),Charges!I25&gt;=0),Charges!I25="S",Charges!I25="M",Charges!I25="L",Charges!I25="XL"),0,1)+IF(OR(Charges!J25="",AND(ISNUMBER(Charges!J25),Charges!J25&gt;=0),Charges!J25="S",Charges!J25="M",Charges!J25="L",Charges!J25="XL"),0,1)+IF(OR(Charges!K25="",AND(ISNUMBER(Charges!K25),Charges!K25&gt;=0),Charges!K25="S",Charges!K25="M",Charges!K25="L",Charges!K25="XL"),0,1)+IF(OR(Charges!L25="",AND(ISNUMBER(Charges!L25),Charges!L25&gt;=0),Charges!L25="S",Charges!L25="M",Charges!L25="L",Charges!L25="XL"),0,1)+IF(OR(Charges!M25="",AND(ISNUMBER(Charges!M25),Charges!M25&gt;=0),Charges!M25="S",Charges!M25="M",Charges!M25="L",Charges!M25="XL"),0,1)+IF(OR(Charges!N25="",AND(ISNUMBER(Charges!N25),Charges!N25&gt;=0),Charges!N25="S",Charges!N25="M",Charges!N25="L",Charges!N25="XL"),0,1)+IF(OR(Charges!O25="",AND(ISNUMBER(Charges!O25),Charges!O25&gt;=0),Charges!O25="S",Charges!O25="M",Charges!O25="L",Charges!O25="XL"),0,1)+IF(OR(Charges!P25="",AND(ISNUMBER(Charges!P25),Charges!P25&gt;=0),Charges!P25="S",Charges!P25="M",Charges!P25="L",Charges!P25="XL"),0,1)+IF(OR(Charges!Q25="",AND(ISNUMBER(Charges!Q25),Charges!Q25&gt;=0),Charges!Q25="S",Charges!Q25="M",Charges!Q25="L",Charges!Q25="XL"),0,1)+IF(OR(Charges!R25="",AND(ISNUMBER(Charges!R25),Charges!R25&gt;=0),Charges!R25="S",Charges!R25="M",Charges!R25="L",Charges!R25="XL"),0,1)</f>
        <v>0</v>
      </c>
      <c r="U25" t="n">
        <f>IF(AND(1&gt;Paramètres!$B$9,Charges!F25&lt;&gt;"",Charges!F25&lt;&gt;0),1,0)+IF(AND(2&gt;Paramètres!$B$9,Charges!G25&lt;&gt;"",Charges!G25&lt;&gt;0),1,0)+IF(AND(3&gt;Paramètres!$B$9,Charges!H25&lt;&gt;"",Charges!H25&lt;&gt;0),1,0)+IF(AND(4&gt;Paramètres!$B$9,Charges!I25&lt;&gt;"",Charges!I25&lt;&gt;0),1,0)+IF(AND(5&gt;Paramètres!$B$9,Charges!J25&lt;&gt;"",Charges!J25&lt;&gt;0),1,0)+IF(AND(6&gt;Paramètres!$B$9,Charges!K25&lt;&gt;"",Charges!K25&lt;&gt;0),1,0)+IF(AND(7&gt;Paramètres!$B$9,Charges!L25&lt;&gt;"",Charges!L25&lt;&gt;0),1,0)+IF(AND(8&gt;Paramètres!$B$9,Charges!M25&lt;&gt;"",Charges!M25&lt;&gt;0),1,0)+IF(AND(9&gt;Paramètres!$B$9,Charges!N25&lt;&gt;"",Charges!N25&lt;&gt;0),1,0)+IF(AND(10&gt;Paramètres!$B$9,Charges!O25&lt;&gt;"",Charges!O25&lt;&gt;0),1,0)+IF(AND(11&gt;Paramètres!$B$9,Charges!P25&lt;&gt;"",Charges!P25&lt;&gt;0),1,0)+IF(AND(12&gt;Paramètres!$B$9,Charges!Q25&lt;&gt;"",Charges!Q25&lt;&gt;0),1,0)+IF(AND(13&gt;Paramètres!$B$9,Charges!R25&lt;&gt;"",Charges!R25&lt;&gt;0),1,0)</f>
        <v>0</v>
      </c>
      <c r="V25" t="n">
        <f>IF(IFERROR(VLOOKUP(A25,'Projets'!$A$8:$Z$67,5,FALSE),"")="Engager",1,0)</f>
        <v>0</v>
      </c>
      <c r="W25" t="n">
        <f>IF(IFERROR(VLOOKUP(A25,'Projets'!$A$8:$Z$67,6,FALSE),"")="Engager",1,0)</f>
        <v>0</v>
      </c>
      <c r="X25" t="n">
        <f>E25*S25</f>
        <v>0</v>
      </c>
      <c r="Y25" t="n">
        <f>F25*S25</f>
        <v>0</v>
      </c>
      <c r="Z25" t="n">
        <f>G25*S25</f>
        <v>0</v>
      </c>
      <c r="AA25" t="n">
        <f>H25*S25</f>
        <v>0</v>
      </c>
      <c r="AB25" t="n">
        <f>I25*S25</f>
        <v>0</v>
      </c>
      <c r="AC25" t="n">
        <f>J25*S25</f>
        <v>0</v>
      </c>
      <c r="AD25" t="n">
        <f>K25*S25</f>
        <v>0</v>
      </c>
      <c r="AE25" t="n">
        <f>L25*S25</f>
        <v>0</v>
      </c>
      <c r="AF25" t="n">
        <f>M25*S25</f>
        <v>0</v>
      </c>
      <c r="AG25" t="n">
        <f>N25*S25</f>
        <v>0</v>
      </c>
      <c r="AH25" t="n">
        <f>O25*S25</f>
        <v>0</v>
      </c>
      <c r="AI25" t="n">
        <f>P25*S25</f>
        <v>0</v>
      </c>
      <c r="AJ25" t="n">
        <f>Q25*S25</f>
        <v>0</v>
      </c>
      <c r="AK25" t="n">
        <f>E25*V25</f>
        <v>0</v>
      </c>
      <c r="AL25" t="n">
        <f>F25*V25</f>
        <v>0</v>
      </c>
      <c r="AM25" t="n">
        <f>G25*V25</f>
        <v>0</v>
      </c>
      <c r="AN25" t="n">
        <f>H25*V25</f>
        <v>0</v>
      </c>
      <c r="AO25" t="n">
        <f>I25*V25</f>
        <v>0</v>
      </c>
      <c r="AP25" t="n">
        <f>J25*V25</f>
        <v>0</v>
      </c>
      <c r="AQ25" t="n">
        <f>K25*V25</f>
        <v>0</v>
      </c>
      <c r="AR25" t="n">
        <f>L25*V25</f>
        <v>0</v>
      </c>
      <c r="AS25" t="n">
        <f>M25*V25</f>
        <v>0</v>
      </c>
      <c r="AT25" t="n">
        <f>N25*V25</f>
        <v>0</v>
      </c>
      <c r="AU25" t="n">
        <f>O25*V25</f>
        <v>0</v>
      </c>
      <c r="AV25" t="n">
        <f>P25*V25</f>
        <v>0</v>
      </c>
      <c r="AW25" t="n">
        <f>Q25*V25</f>
        <v>0</v>
      </c>
      <c r="AX25" t="n">
        <f>E25*W25</f>
        <v>0</v>
      </c>
      <c r="AY25" t="n">
        <f>F25*W25</f>
        <v>0</v>
      </c>
      <c r="AZ25" t="n">
        <f>G25*W25</f>
        <v>0</v>
      </c>
      <c r="BA25" t="n">
        <f>H25*W25</f>
        <v>0</v>
      </c>
      <c r="BB25" t="n">
        <f>I25*W25</f>
        <v>0</v>
      </c>
      <c r="BC25" t="n">
        <f>J25*W25</f>
        <v>0</v>
      </c>
      <c r="BD25" t="n">
        <f>K25*W25</f>
        <v>0</v>
      </c>
      <c r="BE25" t="n">
        <f>L25*W25</f>
        <v>0</v>
      </c>
      <c r="BF25" t="n">
        <f>M25*W25</f>
        <v>0</v>
      </c>
      <c r="BG25" t="n">
        <f>N25*W25</f>
        <v>0</v>
      </c>
      <c r="BH25" t="n">
        <f>O25*W25</f>
        <v>0</v>
      </c>
      <c r="BI25" t="n">
        <f>P25*W25</f>
        <v>0</v>
      </c>
      <c r="BJ25" t="n">
        <f>Q25*W25</f>
        <v>0</v>
      </c>
      <c r="BM25" t="n">
        <f>IF(OR(Personnes!$A25="",1&gt;Paramètres!$B$9),0,MAX(0,SUMIF($B$8:$B$247,Personnes!$A25,$E$8:$E$247)-'Planning par personne'!C25))</f>
        <v>0</v>
      </c>
      <c r="BN25" t="n">
        <f>IF(OR(Personnes!$A25="",2&gt;Paramètres!$B$9),0,MAX(0,SUMIF($B$8:$B$247,Personnes!$A25,$F$8:$F$247)-'Planning par personne'!D25))</f>
        <v>0</v>
      </c>
      <c r="BO25" t="n">
        <f>IF(OR(Personnes!$A25="",3&gt;Paramètres!$B$9),0,MAX(0,SUMIF($B$8:$B$247,Personnes!$A25,$G$8:$G$247)-'Planning par personne'!E25))</f>
        <v>0</v>
      </c>
      <c r="BP25" t="n">
        <f>IF(OR(Personnes!$A25="",4&gt;Paramètres!$B$9),0,MAX(0,SUMIF($B$8:$B$247,Personnes!$A25,$H$8:$H$247)-'Planning par personne'!F25))</f>
        <v>0</v>
      </c>
      <c r="BQ25" t="n">
        <f>IF(OR(Personnes!$A25="",5&gt;Paramètres!$B$9),0,MAX(0,SUMIF($B$8:$B$247,Personnes!$A25,$I$8:$I$247)-'Planning par personne'!G25))</f>
        <v>0</v>
      </c>
      <c r="BR25" t="n">
        <f>IF(OR(Personnes!$A25="",6&gt;Paramètres!$B$9),0,MAX(0,SUMIF($B$8:$B$247,Personnes!$A25,$J$8:$J$247)-'Planning par personne'!H25))</f>
        <v>0</v>
      </c>
      <c r="BS25" t="n">
        <f>IF(OR(Personnes!$A25="",7&gt;Paramètres!$B$9),0,MAX(0,SUMIF($B$8:$B$247,Personnes!$A25,$K$8:$K$247)-'Planning par personne'!I25))</f>
        <v>0</v>
      </c>
      <c r="BT25" t="n">
        <f>IF(OR(Personnes!$A25="",8&gt;Paramètres!$B$9),0,MAX(0,SUMIF($B$8:$B$247,Personnes!$A25,$L$8:$L$247)-'Planning par personne'!J25))</f>
        <v>0</v>
      </c>
      <c r="BU25" t="n">
        <f>IF(OR(Personnes!$A25="",9&gt;Paramètres!$B$9),0,MAX(0,SUMIF($B$8:$B$247,Personnes!$A25,$M$8:$M$247)-'Planning par personne'!K25))</f>
        <v>0</v>
      </c>
      <c r="BV25" t="n">
        <f>IF(OR(Personnes!$A25="",10&gt;Paramètres!$B$9),0,MAX(0,SUMIF($B$8:$B$247,Personnes!$A25,$N$8:$N$247)-'Planning par personne'!L25))</f>
        <v>0</v>
      </c>
      <c r="BW25" t="n">
        <f>IF(OR(Personnes!$A25="",11&gt;Paramètres!$B$9),0,MAX(0,SUMIF($B$8:$B$247,Personnes!$A25,$O$8:$O$247)-'Planning par personne'!M25))</f>
        <v>0</v>
      </c>
      <c r="BX25" t="n">
        <f>IF(OR(Personnes!$A25="",12&gt;Paramètres!$B$9),0,MAX(0,SUMIF($B$8:$B$247,Personnes!$A25,$P$8:$P$247)-'Planning par personne'!N25))</f>
        <v>0</v>
      </c>
      <c r="BY25" t="n">
        <f>IF(OR(Personnes!$A25="",13&gt;Paramètres!$B$9),0,MAX(0,SUMIF($B$8:$B$247,Personnes!$A25,$Q$8:$Q$247)-'Planning par personne'!O25))</f>
        <v>0</v>
      </c>
      <c r="BZ25" t="n">
        <f>IF(OR(Personnes!$A25="",1&gt;Paramètres!$B$9),0,MAX(0,SUMIF($B$8:$B$247,Personnes!$A25,$AK$8:$AK$247)-'Planning par personne'!C25))</f>
        <v>0</v>
      </c>
      <c r="CA25" t="n">
        <f>IF(OR(Personnes!$A25="",2&gt;Paramètres!$B$9),0,MAX(0,SUMIF($B$8:$B$247,Personnes!$A25,$AL$8:$AL$247)-'Planning par personne'!D25))</f>
        <v>0</v>
      </c>
      <c r="CB25" t="n">
        <f>IF(OR(Personnes!$A25="",3&gt;Paramètres!$B$9),0,MAX(0,SUMIF($B$8:$B$247,Personnes!$A25,$AM$8:$AM$247)-'Planning par personne'!E25))</f>
        <v>0</v>
      </c>
      <c r="CC25" t="n">
        <f>IF(OR(Personnes!$A25="",4&gt;Paramètres!$B$9),0,MAX(0,SUMIF($B$8:$B$247,Personnes!$A25,$AN$8:$AN$247)-'Planning par personne'!F25))</f>
        <v>0</v>
      </c>
      <c r="CD25" t="n">
        <f>IF(OR(Personnes!$A25="",5&gt;Paramètres!$B$9),0,MAX(0,SUMIF($B$8:$B$247,Personnes!$A25,$AO$8:$AO$247)-'Planning par personne'!G25))</f>
        <v>0</v>
      </c>
      <c r="CE25" t="n">
        <f>IF(OR(Personnes!$A25="",6&gt;Paramètres!$B$9),0,MAX(0,SUMIF($B$8:$B$247,Personnes!$A25,$AP$8:$AP$247)-'Planning par personne'!H25))</f>
        <v>0</v>
      </c>
      <c r="CF25" t="n">
        <f>IF(OR(Personnes!$A25="",7&gt;Paramètres!$B$9),0,MAX(0,SUMIF($B$8:$B$247,Personnes!$A25,$AQ$8:$AQ$247)-'Planning par personne'!I25))</f>
        <v>0</v>
      </c>
      <c r="CG25" t="n">
        <f>IF(OR(Personnes!$A25="",8&gt;Paramètres!$B$9),0,MAX(0,SUMIF($B$8:$B$247,Personnes!$A25,$AR$8:$AR$247)-'Planning par personne'!J25))</f>
        <v>0</v>
      </c>
      <c r="CH25" t="n">
        <f>IF(OR(Personnes!$A25="",9&gt;Paramètres!$B$9),0,MAX(0,SUMIF($B$8:$B$247,Personnes!$A25,$AS$8:$AS$247)-'Planning par personne'!K25))</f>
        <v>0</v>
      </c>
      <c r="CI25" t="n">
        <f>IF(OR(Personnes!$A25="",10&gt;Paramètres!$B$9),0,MAX(0,SUMIF($B$8:$B$247,Personnes!$A25,$AT$8:$AT$247)-'Planning par personne'!L25))</f>
        <v>0</v>
      </c>
      <c r="CJ25" t="n">
        <f>IF(OR(Personnes!$A25="",11&gt;Paramètres!$B$9),0,MAX(0,SUMIF($B$8:$B$247,Personnes!$A25,$AU$8:$AU$247)-'Planning par personne'!M25))</f>
        <v>0</v>
      </c>
      <c r="CK25" t="n">
        <f>IF(OR(Personnes!$A25="",12&gt;Paramètres!$B$9),0,MAX(0,SUMIF($B$8:$B$247,Personnes!$A25,$AV$8:$AV$247)-'Planning par personne'!N25))</f>
        <v>0</v>
      </c>
      <c r="CL25" t="n">
        <f>IF(OR(Personnes!$A25="",13&gt;Paramètres!$B$9),0,MAX(0,SUMIF($B$8:$B$247,Personnes!$A25,$AW$8:$AW$247)-'Planning par personne'!O25))</f>
        <v>0</v>
      </c>
      <c r="CM25" t="n">
        <f>IF(OR(Personnes!$A25="",1&gt;Paramètres!$B$9),0,MAX(0,SUMIF($B$8:$B$247,Personnes!$A25,$AX$8:$AX$247)-'Planning par personne'!C25))</f>
        <v>0</v>
      </c>
      <c r="CN25" t="n">
        <f>IF(OR(Personnes!$A25="",2&gt;Paramètres!$B$9),0,MAX(0,SUMIF($B$8:$B$247,Personnes!$A25,$AY$8:$AY$247)-'Planning par personne'!D25))</f>
        <v>0</v>
      </c>
      <c r="CO25" t="n">
        <f>IF(OR(Personnes!$A25="",3&gt;Paramètres!$B$9),0,MAX(0,SUMIF($B$8:$B$247,Personnes!$A25,$AZ$8:$AZ$247)-'Planning par personne'!E25))</f>
        <v>0</v>
      </c>
      <c r="CP25" t="n">
        <f>IF(OR(Personnes!$A25="",4&gt;Paramètres!$B$9),0,MAX(0,SUMIF($B$8:$B$247,Personnes!$A25,$BA$8:$BA$247)-'Planning par personne'!F25))</f>
        <v>0</v>
      </c>
      <c r="CQ25" t="n">
        <f>IF(OR(Personnes!$A25="",5&gt;Paramètres!$B$9),0,MAX(0,SUMIF($B$8:$B$247,Personnes!$A25,$BB$8:$BB$247)-'Planning par personne'!G25))</f>
        <v>0</v>
      </c>
      <c r="CR25" t="n">
        <f>IF(OR(Personnes!$A25="",6&gt;Paramètres!$B$9),0,MAX(0,SUMIF($B$8:$B$247,Personnes!$A25,$BC$8:$BC$247)-'Planning par personne'!H25))</f>
        <v>0</v>
      </c>
      <c r="CS25" t="n">
        <f>IF(OR(Personnes!$A25="",7&gt;Paramètres!$B$9),0,MAX(0,SUMIF($B$8:$B$247,Personnes!$A25,$BD$8:$BD$247)-'Planning par personne'!I25))</f>
        <v>0</v>
      </c>
      <c r="CT25" t="n">
        <f>IF(OR(Personnes!$A25="",8&gt;Paramètres!$B$9),0,MAX(0,SUMIF($B$8:$B$247,Personnes!$A25,$BE$8:$BE$247)-'Planning par personne'!J25))</f>
        <v>0</v>
      </c>
      <c r="CU25" t="n">
        <f>IF(OR(Personnes!$A25="",9&gt;Paramètres!$B$9),0,MAX(0,SUMIF($B$8:$B$247,Personnes!$A25,$BF$8:$BF$247)-'Planning par personne'!K25))</f>
        <v>0</v>
      </c>
      <c r="CV25" t="n">
        <f>IF(OR(Personnes!$A25="",10&gt;Paramètres!$B$9),0,MAX(0,SUMIF($B$8:$B$247,Personnes!$A25,$BG$8:$BG$247)-'Planning par personne'!L25))</f>
        <v>0</v>
      </c>
      <c r="CW25" t="n">
        <f>IF(OR(Personnes!$A25="",11&gt;Paramètres!$B$9),0,MAX(0,SUMIF($B$8:$B$247,Personnes!$A25,$BH$8:$BH$247)-'Planning par personne'!M25))</f>
        <v>0</v>
      </c>
      <c r="CX25" t="n">
        <f>IF(OR(Personnes!$A25="",12&gt;Paramètres!$B$9),0,MAX(0,SUMIF($B$8:$B$247,Personnes!$A25,$BI$8:$BI$247)-'Planning par personne'!N25))</f>
        <v>0</v>
      </c>
      <c r="CY25" t="n">
        <f>IF(OR(Personnes!$A25="",13&gt;Paramètres!$B$9),0,MAX(0,SUMIF($B$8:$B$247,Personnes!$A25,$BJ$8:$BJ$247)-'Planning par personne'!O25))</f>
        <v>0</v>
      </c>
      <c r="DJ25" t="n">
        <f>SUM(BM25:BY25)</f>
        <v>0</v>
      </c>
      <c r="DK25" t="n">
        <f>SUM(BZ25:CL25)</f>
        <v>0</v>
      </c>
      <c r="DL25" t="n">
        <f>SUM(CM25:CY25)</f>
        <v>0</v>
      </c>
      <c r="DM25" t="str">
        <f>IF(AND(Projets!A25&lt;&gt;"",Projets!G25="Engager"),DM24&amp;IF(DM24="","",", ")&amp;Projets!B25,DM24)</f>
        <v/>
      </c>
      <c r="DN25" t="str">
        <f>IF(AND(Projets!A25&lt;&gt;"",Projets!G25="Reporter"),DN24&amp;IF(DN24="","",", ")&amp;Projets!B25,DN24)</f>
        <v/>
      </c>
    </row>
    <row r="26">
      <c r="A26" t="n">
        <f>Charges!A26</f>
        <v>0</v>
      </c>
      <c r="B26" t="n">
        <f>Charges!C26</f>
        <v>0</v>
      </c>
      <c r="C26" t="str">
        <f>Charges!D26</f>
        <v/>
      </c>
      <c r="E26" t="n">
        <f>IF(1&lt;=Paramètres!$B$9,MAX(0,IFERROR(N(IF(ISNUMBER(Charges!F26),MAX(0,Charges!F26),IFERROR(VLOOKUP(Charges!F26,Paramètres!$A$15:$B$18,2,FALSE),0))),0)),0)</f>
        <v>0</v>
      </c>
      <c r="F26" t="n">
        <f>IF(2&lt;=Paramètres!$B$9,MAX(0,IFERROR(N(IF(ISNUMBER(Charges!G26),MAX(0,Charges!G26),IFERROR(VLOOKUP(Charges!G26,Paramètres!$A$15:$B$18,2,FALSE),0))),0)),0)</f>
        <v>0</v>
      </c>
      <c r="G26" t="n">
        <f>IF(3&lt;=Paramètres!$B$9,MAX(0,IFERROR(N(IF(ISNUMBER(Charges!H26),MAX(0,Charges!H26),IFERROR(VLOOKUP(Charges!H26,Paramètres!$A$15:$B$18,2,FALSE),0))),0)),0)</f>
        <v>0</v>
      </c>
      <c r="H26" t="n">
        <f>IF(4&lt;=Paramètres!$B$9,MAX(0,IFERROR(N(IF(ISNUMBER(Charges!I26),MAX(0,Charges!I26),IFERROR(VLOOKUP(Charges!I26,Paramètres!$A$15:$B$18,2,FALSE),0))),0)),0)</f>
        <v>0</v>
      </c>
      <c r="I26" t="n">
        <f>IF(5&lt;=Paramètres!$B$9,MAX(0,IFERROR(N(IF(ISNUMBER(Charges!J26),MAX(0,Charges!J26),IFERROR(VLOOKUP(Charges!J26,Paramètres!$A$15:$B$18,2,FALSE),0))),0)),0)</f>
        <v>0</v>
      </c>
      <c r="J26" t="n">
        <f>IF(6&lt;=Paramètres!$B$9,MAX(0,IFERROR(N(IF(ISNUMBER(Charges!K26),MAX(0,Charges!K26),IFERROR(VLOOKUP(Charges!K26,Paramètres!$A$15:$B$18,2,FALSE),0))),0)),0)</f>
        <v>0</v>
      </c>
      <c r="K26" t="n">
        <f>IF(7&lt;=Paramètres!$B$9,MAX(0,IFERROR(N(IF(ISNUMBER(Charges!L26),MAX(0,Charges!L26),IFERROR(VLOOKUP(Charges!L26,Paramètres!$A$15:$B$18,2,FALSE),0))),0)),0)</f>
        <v>0</v>
      </c>
      <c r="L26" t="n">
        <f>IF(8&lt;=Paramètres!$B$9,MAX(0,IFERROR(N(IF(ISNUMBER(Charges!M26),MAX(0,Charges!M26),IFERROR(VLOOKUP(Charges!M26,Paramètres!$A$15:$B$18,2,FALSE),0))),0)),0)</f>
        <v>0</v>
      </c>
      <c r="M26" t="n">
        <f>IF(9&lt;=Paramètres!$B$9,MAX(0,IFERROR(N(IF(ISNUMBER(Charges!N26),MAX(0,Charges!N26),IFERROR(VLOOKUP(Charges!N26,Paramètres!$A$15:$B$18,2,FALSE),0))),0)),0)</f>
        <v>0</v>
      </c>
      <c r="N26" t="n">
        <f>IF(10&lt;=Paramètres!$B$9,MAX(0,IFERROR(N(IF(ISNUMBER(Charges!O26),MAX(0,Charges!O26),IFERROR(VLOOKUP(Charges!O26,Paramètres!$A$15:$B$18,2,FALSE),0))),0)),0)</f>
        <v>0</v>
      </c>
      <c r="O26" t="n">
        <f>IF(11&lt;=Paramètres!$B$9,MAX(0,IFERROR(N(IF(ISNUMBER(Charges!P26),MAX(0,Charges!P26),IFERROR(VLOOKUP(Charges!P26,Paramètres!$A$15:$B$18,2,FALSE),0))),0)),0)</f>
        <v>0</v>
      </c>
      <c r="P26" t="n">
        <f>IF(12&lt;=Paramètres!$B$9,MAX(0,IFERROR(N(IF(ISNUMBER(Charges!Q26),MAX(0,Charges!Q26),IFERROR(VLOOKUP(Charges!Q26,Paramètres!$A$15:$B$18,2,FALSE),0))),0)),0)</f>
        <v>0</v>
      </c>
      <c r="Q26" t="n">
        <f>IF(13&lt;=Paramètres!$B$9,MAX(0,IFERROR(N(IF(ISNUMBER(Charges!R26),MAX(0,Charges!R26),IFERROR(VLOOKUP(Charges!R26,Paramètres!$A$15:$B$18,2,FALSE),0))),0)),0)</f>
        <v>0</v>
      </c>
      <c r="R26" t="n">
        <f>SUM(E26:Q26)</f>
        <v>0</v>
      </c>
      <c r="S26" t="n">
        <f>IF(IFERROR(VLOOKUP(A26,'Projets'!$A$8:$Z$67,7,FALSE),"")="Engager",1,0)</f>
        <v>0</v>
      </c>
      <c r="T26" t="n">
        <f>IF(OR(Charges!F26="",AND(ISNUMBER(Charges!F26),Charges!F26&gt;=0),Charges!F26="S",Charges!F26="M",Charges!F26="L",Charges!F26="XL"),0,1)+IF(OR(Charges!G26="",AND(ISNUMBER(Charges!G26),Charges!G26&gt;=0),Charges!G26="S",Charges!G26="M",Charges!G26="L",Charges!G26="XL"),0,1)+IF(OR(Charges!H26="",AND(ISNUMBER(Charges!H26),Charges!H26&gt;=0),Charges!H26="S",Charges!H26="M",Charges!H26="L",Charges!H26="XL"),0,1)+IF(OR(Charges!I26="",AND(ISNUMBER(Charges!I26),Charges!I26&gt;=0),Charges!I26="S",Charges!I26="M",Charges!I26="L",Charges!I26="XL"),0,1)+IF(OR(Charges!J26="",AND(ISNUMBER(Charges!J26),Charges!J26&gt;=0),Charges!J26="S",Charges!J26="M",Charges!J26="L",Charges!J26="XL"),0,1)+IF(OR(Charges!K26="",AND(ISNUMBER(Charges!K26),Charges!K26&gt;=0),Charges!K26="S",Charges!K26="M",Charges!K26="L",Charges!K26="XL"),0,1)+IF(OR(Charges!L26="",AND(ISNUMBER(Charges!L26),Charges!L26&gt;=0),Charges!L26="S",Charges!L26="M",Charges!L26="L",Charges!L26="XL"),0,1)+IF(OR(Charges!M26="",AND(ISNUMBER(Charges!M26),Charges!M26&gt;=0),Charges!M26="S",Charges!M26="M",Charges!M26="L",Charges!M26="XL"),0,1)+IF(OR(Charges!N26="",AND(ISNUMBER(Charges!N26),Charges!N26&gt;=0),Charges!N26="S",Charges!N26="M",Charges!N26="L",Charges!N26="XL"),0,1)+IF(OR(Charges!O26="",AND(ISNUMBER(Charges!O26),Charges!O26&gt;=0),Charges!O26="S",Charges!O26="M",Charges!O26="L",Charges!O26="XL"),0,1)+IF(OR(Charges!P26="",AND(ISNUMBER(Charges!P26),Charges!P26&gt;=0),Charges!P26="S",Charges!P26="M",Charges!P26="L",Charges!P26="XL"),0,1)+IF(OR(Charges!Q26="",AND(ISNUMBER(Charges!Q26),Charges!Q26&gt;=0),Charges!Q26="S",Charges!Q26="M",Charges!Q26="L",Charges!Q26="XL"),0,1)+IF(OR(Charges!R26="",AND(ISNUMBER(Charges!R26),Charges!R26&gt;=0),Charges!R26="S",Charges!R26="M",Charges!R26="L",Charges!R26="XL"),0,1)</f>
        <v>0</v>
      </c>
      <c r="U26" t="n">
        <f>IF(AND(1&gt;Paramètres!$B$9,Charges!F26&lt;&gt;"",Charges!F26&lt;&gt;0),1,0)+IF(AND(2&gt;Paramètres!$B$9,Charges!G26&lt;&gt;"",Charges!G26&lt;&gt;0),1,0)+IF(AND(3&gt;Paramètres!$B$9,Charges!H26&lt;&gt;"",Charges!H26&lt;&gt;0),1,0)+IF(AND(4&gt;Paramètres!$B$9,Charges!I26&lt;&gt;"",Charges!I26&lt;&gt;0),1,0)+IF(AND(5&gt;Paramètres!$B$9,Charges!J26&lt;&gt;"",Charges!J26&lt;&gt;0),1,0)+IF(AND(6&gt;Paramètres!$B$9,Charges!K26&lt;&gt;"",Charges!K26&lt;&gt;0),1,0)+IF(AND(7&gt;Paramètres!$B$9,Charges!L26&lt;&gt;"",Charges!L26&lt;&gt;0),1,0)+IF(AND(8&gt;Paramètres!$B$9,Charges!M26&lt;&gt;"",Charges!M26&lt;&gt;0),1,0)+IF(AND(9&gt;Paramètres!$B$9,Charges!N26&lt;&gt;"",Charges!N26&lt;&gt;0),1,0)+IF(AND(10&gt;Paramètres!$B$9,Charges!O26&lt;&gt;"",Charges!O26&lt;&gt;0),1,0)+IF(AND(11&gt;Paramètres!$B$9,Charges!P26&lt;&gt;"",Charges!P26&lt;&gt;0),1,0)+IF(AND(12&gt;Paramètres!$B$9,Charges!Q26&lt;&gt;"",Charges!Q26&lt;&gt;0),1,0)+IF(AND(13&gt;Paramètres!$B$9,Charges!R26&lt;&gt;"",Charges!R26&lt;&gt;0),1,0)</f>
        <v>0</v>
      </c>
      <c r="V26" t="n">
        <f>IF(IFERROR(VLOOKUP(A26,'Projets'!$A$8:$Z$67,5,FALSE),"")="Engager",1,0)</f>
        <v>0</v>
      </c>
      <c r="W26" t="n">
        <f>IF(IFERROR(VLOOKUP(A26,'Projets'!$A$8:$Z$67,6,FALSE),"")="Engager",1,0)</f>
        <v>0</v>
      </c>
      <c r="X26" t="n">
        <f>E26*S26</f>
        <v>0</v>
      </c>
      <c r="Y26" t="n">
        <f>F26*S26</f>
        <v>0</v>
      </c>
      <c r="Z26" t="n">
        <f>G26*S26</f>
        <v>0</v>
      </c>
      <c r="AA26" t="n">
        <f>H26*S26</f>
        <v>0</v>
      </c>
      <c r="AB26" t="n">
        <f>I26*S26</f>
        <v>0</v>
      </c>
      <c r="AC26" t="n">
        <f>J26*S26</f>
        <v>0</v>
      </c>
      <c r="AD26" t="n">
        <f>K26*S26</f>
        <v>0</v>
      </c>
      <c r="AE26" t="n">
        <f>L26*S26</f>
        <v>0</v>
      </c>
      <c r="AF26" t="n">
        <f>M26*S26</f>
        <v>0</v>
      </c>
      <c r="AG26" t="n">
        <f>N26*S26</f>
        <v>0</v>
      </c>
      <c r="AH26" t="n">
        <f>O26*S26</f>
        <v>0</v>
      </c>
      <c r="AI26" t="n">
        <f>P26*S26</f>
        <v>0</v>
      </c>
      <c r="AJ26" t="n">
        <f>Q26*S26</f>
        <v>0</v>
      </c>
      <c r="AK26" t="n">
        <f>E26*V26</f>
        <v>0</v>
      </c>
      <c r="AL26" t="n">
        <f>F26*V26</f>
        <v>0</v>
      </c>
      <c r="AM26" t="n">
        <f>G26*V26</f>
        <v>0</v>
      </c>
      <c r="AN26" t="n">
        <f>H26*V26</f>
        <v>0</v>
      </c>
      <c r="AO26" t="n">
        <f>I26*V26</f>
        <v>0</v>
      </c>
      <c r="AP26" t="n">
        <f>J26*V26</f>
        <v>0</v>
      </c>
      <c r="AQ26" t="n">
        <f>K26*V26</f>
        <v>0</v>
      </c>
      <c r="AR26" t="n">
        <f>L26*V26</f>
        <v>0</v>
      </c>
      <c r="AS26" t="n">
        <f>M26*V26</f>
        <v>0</v>
      </c>
      <c r="AT26" t="n">
        <f>N26*V26</f>
        <v>0</v>
      </c>
      <c r="AU26" t="n">
        <f>O26*V26</f>
        <v>0</v>
      </c>
      <c r="AV26" t="n">
        <f>P26*V26</f>
        <v>0</v>
      </c>
      <c r="AW26" t="n">
        <f>Q26*V26</f>
        <v>0</v>
      </c>
      <c r="AX26" t="n">
        <f>E26*W26</f>
        <v>0</v>
      </c>
      <c r="AY26" t="n">
        <f>F26*W26</f>
        <v>0</v>
      </c>
      <c r="AZ26" t="n">
        <f>G26*W26</f>
        <v>0</v>
      </c>
      <c r="BA26" t="n">
        <f>H26*W26</f>
        <v>0</v>
      </c>
      <c r="BB26" t="n">
        <f>I26*W26</f>
        <v>0</v>
      </c>
      <c r="BC26" t="n">
        <f>J26*W26</f>
        <v>0</v>
      </c>
      <c r="BD26" t="n">
        <f>K26*W26</f>
        <v>0</v>
      </c>
      <c r="BE26" t="n">
        <f>L26*W26</f>
        <v>0</v>
      </c>
      <c r="BF26" t="n">
        <f>M26*W26</f>
        <v>0</v>
      </c>
      <c r="BG26" t="n">
        <f>N26*W26</f>
        <v>0</v>
      </c>
      <c r="BH26" t="n">
        <f>O26*W26</f>
        <v>0</v>
      </c>
      <c r="BI26" t="n">
        <f>P26*W26</f>
        <v>0</v>
      </c>
      <c r="BJ26" t="n">
        <f>Q26*W26</f>
        <v>0</v>
      </c>
      <c r="BM26" t="n">
        <f>IF(OR(Personnes!$A26="",1&gt;Paramètres!$B$9),0,MAX(0,SUMIF($B$8:$B$247,Personnes!$A26,$E$8:$E$247)-'Planning par personne'!C26))</f>
        <v>0</v>
      </c>
      <c r="BN26" t="n">
        <f>IF(OR(Personnes!$A26="",2&gt;Paramètres!$B$9),0,MAX(0,SUMIF($B$8:$B$247,Personnes!$A26,$F$8:$F$247)-'Planning par personne'!D26))</f>
        <v>0</v>
      </c>
      <c r="BO26" t="n">
        <f>IF(OR(Personnes!$A26="",3&gt;Paramètres!$B$9),0,MAX(0,SUMIF($B$8:$B$247,Personnes!$A26,$G$8:$G$247)-'Planning par personne'!E26))</f>
        <v>0</v>
      </c>
      <c r="BP26" t="n">
        <f>IF(OR(Personnes!$A26="",4&gt;Paramètres!$B$9),0,MAX(0,SUMIF($B$8:$B$247,Personnes!$A26,$H$8:$H$247)-'Planning par personne'!F26))</f>
        <v>0</v>
      </c>
      <c r="BQ26" t="n">
        <f>IF(OR(Personnes!$A26="",5&gt;Paramètres!$B$9),0,MAX(0,SUMIF($B$8:$B$247,Personnes!$A26,$I$8:$I$247)-'Planning par personne'!G26))</f>
        <v>0</v>
      </c>
      <c r="BR26" t="n">
        <f>IF(OR(Personnes!$A26="",6&gt;Paramètres!$B$9),0,MAX(0,SUMIF($B$8:$B$247,Personnes!$A26,$J$8:$J$247)-'Planning par personne'!H26))</f>
        <v>0</v>
      </c>
      <c r="BS26" t="n">
        <f>IF(OR(Personnes!$A26="",7&gt;Paramètres!$B$9),0,MAX(0,SUMIF($B$8:$B$247,Personnes!$A26,$K$8:$K$247)-'Planning par personne'!I26))</f>
        <v>0</v>
      </c>
      <c r="BT26" t="n">
        <f>IF(OR(Personnes!$A26="",8&gt;Paramètres!$B$9),0,MAX(0,SUMIF($B$8:$B$247,Personnes!$A26,$L$8:$L$247)-'Planning par personne'!J26))</f>
        <v>0</v>
      </c>
      <c r="BU26" t="n">
        <f>IF(OR(Personnes!$A26="",9&gt;Paramètres!$B$9),0,MAX(0,SUMIF($B$8:$B$247,Personnes!$A26,$M$8:$M$247)-'Planning par personne'!K26))</f>
        <v>0</v>
      </c>
      <c r="BV26" t="n">
        <f>IF(OR(Personnes!$A26="",10&gt;Paramètres!$B$9),0,MAX(0,SUMIF($B$8:$B$247,Personnes!$A26,$N$8:$N$247)-'Planning par personne'!L26))</f>
        <v>0</v>
      </c>
      <c r="BW26" t="n">
        <f>IF(OR(Personnes!$A26="",11&gt;Paramètres!$B$9),0,MAX(0,SUMIF($B$8:$B$247,Personnes!$A26,$O$8:$O$247)-'Planning par personne'!M26))</f>
        <v>0</v>
      </c>
      <c r="BX26" t="n">
        <f>IF(OR(Personnes!$A26="",12&gt;Paramètres!$B$9),0,MAX(0,SUMIF($B$8:$B$247,Personnes!$A26,$P$8:$P$247)-'Planning par personne'!N26))</f>
        <v>0</v>
      </c>
      <c r="BY26" t="n">
        <f>IF(OR(Personnes!$A26="",13&gt;Paramètres!$B$9),0,MAX(0,SUMIF($B$8:$B$247,Personnes!$A26,$Q$8:$Q$247)-'Planning par personne'!O26))</f>
        <v>0</v>
      </c>
      <c r="BZ26" t="n">
        <f>IF(OR(Personnes!$A26="",1&gt;Paramètres!$B$9),0,MAX(0,SUMIF($B$8:$B$247,Personnes!$A26,$AK$8:$AK$247)-'Planning par personne'!C26))</f>
        <v>0</v>
      </c>
      <c r="CA26" t="n">
        <f>IF(OR(Personnes!$A26="",2&gt;Paramètres!$B$9),0,MAX(0,SUMIF($B$8:$B$247,Personnes!$A26,$AL$8:$AL$247)-'Planning par personne'!D26))</f>
        <v>0</v>
      </c>
      <c r="CB26" t="n">
        <f>IF(OR(Personnes!$A26="",3&gt;Paramètres!$B$9),0,MAX(0,SUMIF($B$8:$B$247,Personnes!$A26,$AM$8:$AM$247)-'Planning par personne'!E26))</f>
        <v>0</v>
      </c>
      <c r="CC26" t="n">
        <f>IF(OR(Personnes!$A26="",4&gt;Paramètres!$B$9),0,MAX(0,SUMIF($B$8:$B$247,Personnes!$A26,$AN$8:$AN$247)-'Planning par personne'!F26))</f>
        <v>0</v>
      </c>
      <c r="CD26" t="n">
        <f>IF(OR(Personnes!$A26="",5&gt;Paramètres!$B$9),0,MAX(0,SUMIF($B$8:$B$247,Personnes!$A26,$AO$8:$AO$247)-'Planning par personne'!G26))</f>
        <v>0</v>
      </c>
      <c r="CE26" t="n">
        <f>IF(OR(Personnes!$A26="",6&gt;Paramètres!$B$9),0,MAX(0,SUMIF($B$8:$B$247,Personnes!$A26,$AP$8:$AP$247)-'Planning par personne'!H26))</f>
        <v>0</v>
      </c>
      <c r="CF26" t="n">
        <f>IF(OR(Personnes!$A26="",7&gt;Paramètres!$B$9),0,MAX(0,SUMIF($B$8:$B$247,Personnes!$A26,$AQ$8:$AQ$247)-'Planning par personne'!I26))</f>
        <v>0</v>
      </c>
      <c r="CG26" t="n">
        <f>IF(OR(Personnes!$A26="",8&gt;Paramètres!$B$9),0,MAX(0,SUMIF($B$8:$B$247,Personnes!$A26,$AR$8:$AR$247)-'Planning par personne'!J26))</f>
        <v>0</v>
      </c>
      <c r="CH26" t="n">
        <f>IF(OR(Personnes!$A26="",9&gt;Paramètres!$B$9),0,MAX(0,SUMIF($B$8:$B$247,Personnes!$A26,$AS$8:$AS$247)-'Planning par personne'!K26))</f>
        <v>0</v>
      </c>
      <c r="CI26" t="n">
        <f>IF(OR(Personnes!$A26="",10&gt;Paramètres!$B$9),0,MAX(0,SUMIF($B$8:$B$247,Personnes!$A26,$AT$8:$AT$247)-'Planning par personne'!L26))</f>
        <v>0</v>
      </c>
      <c r="CJ26" t="n">
        <f>IF(OR(Personnes!$A26="",11&gt;Paramètres!$B$9),0,MAX(0,SUMIF($B$8:$B$247,Personnes!$A26,$AU$8:$AU$247)-'Planning par personne'!M26))</f>
        <v>0</v>
      </c>
      <c r="CK26" t="n">
        <f>IF(OR(Personnes!$A26="",12&gt;Paramètres!$B$9),0,MAX(0,SUMIF($B$8:$B$247,Personnes!$A26,$AV$8:$AV$247)-'Planning par personne'!N26))</f>
        <v>0</v>
      </c>
      <c r="CL26" t="n">
        <f>IF(OR(Personnes!$A26="",13&gt;Paramètres!$B$9),0,MAX(0,SUMIF($B$8:$B$247,Personnes!$A26,$AW$8:$AW$247)-'Planning par personne'!O26))</f>
        <v>0</v>
      </c>
      <c r="CM26" t="n">
        <f>IF(OR(Personnes!$A26="",1&gt;Paramètres!$B$9),0,MAX(0,SUMIF($B$8:$B$247,Personnes!$A26,$AX$8:$AX$247)-'Planning par personne'!C26))</f>
        <v>0</v>
      </c>
      <c r="CN26" t="n">
        <f>IF(OR(Personnes!$A26="",2&gt;Paramètres!$B$9),0,MAX(0,SUMIF($B$8:$B$247,Personnes!$A26,$AY$8:$AY$247)-'Planning par personne'!D26))</f>
        <v>0</v>
      </c>
      <c r="CO26" t="n">
        <f>IF(OR(Personnes!$A26="",3&gt;Paramètres!$B$9),0,MAX(0,SUMIF($B$8:$B$247,Personnes!$A26,$AZ$8:$AZ$247)-'Planning par personne'!E26))</f>
        <v>0</v>
      </c>
      <c r="CP26" t="n">
        <f>IF(OR(Personnes!$A26="",4&gt;Paramètres!$B$9),0,MAX(0,SUMIF($B$8:$B$247,Personnes!$A26,$BA$8:$BA$247)-'Planning par personne'!F26))</f>
        <v>0</v>
      </c>
      <c r="CQ26" t="n">
        <f>IF(OR(Personnes!$A26="",5&gt;Paramètres!$B$9),0,MAX(0,SUMIF($B$8:$B$247,Personnes!$A26,$BB$8:$BB$247)-'Planning par personne'!G26))</f>
        <v>0</v>
      </c>
      <c r="CR26" t="n">
        <f>IF(OR(Personnes!$A26="",6&gt;Paramètres!$B$9),0,MAX(0,SUMIF($B$8:$B$247,Personnes!$A26,$BC$8:$BC$247)-'Planning par personne'!H26))</f>
        <v>0</v>
      </c>
      <c r="CS26" t="n">
        <f>IF(OR(Personnes!$A26="",7&gt;Paramètres!$B$9),0,MAX(0,SUMIF($B$8:$B$247,Personnes!$A26,$BD$8:$BD$247)-'Planning par personne'!I26))</f>
        <v>0</v>
      </c>
      <c r="CT26" t="n">
        <f>IF(OR(Personnes!$A26="",8&gt;Paramètres!$B$9),0,MAX(0,SUMIF($B$8:$B$247,Personnes!$A26,$BE$8:$BE$247)-'Planning par personne'!J26))</f>
        <v>0</v>
      </c>
      <c r="CU26" t="n">
        <f>IF(OR(Personnes!$A26="",9&gt;Paramètres!$B$9),0,MAX(0,SUMIF($B$8:$B$247,Personnes!$A26,$BF$8:$BF$247)-'Planning par personne'!K26))</f>
        <v>0</v>
      </c>
      <c r="CV26" t="n">
        <f>IF(OR(Personnes!$A26="",10&gt;Paramètres!$B$9),0,MAX(0,SUMIF($B$8:$B$247,Personnes!$A26,$BG$8:$BG$247)-'Planning par personne'!L26))</f>
        <v>0</v>
      </c>
      <c r="CW26" t="n">
        <f>IF(OR(Personnes!$A26="",11&gt;Paramètres!$B$9),0,MAX(0,SUMIF($B$8:$B$247,Personnes!$A26,$BH$8:$BH$247)-'Planning par personne'!M26))</f>
        <v>0</v>
      </c>
      <c r="CX26" t="n">
        <f>IF(OR(Personnes!$A26="",12&gt;Paramètres!$B$9),0,MAX(0,SUMIF($B$8:$B$247,Personnes!$A26,$BI$8:$BI$247)-'Planning par personne'!N26))</f>
        <v>0</v>
      </c>
      <c r="CY26" t="n">
        <f>IF(OR(Personnes!$A26="",13&gt;Paramètres!$B$9),0,MAX(0,SUMIF($B$8:$B$247,Personnes!$A26,$BJ$8:$BJ$247)-'Planning par personne'!O26))</f>
        <v>0</v>
      </c>
      <c r="DJ26" t="n">
        <f>SUM(BM26:BY26)</f>
        <v>0</v>
      </c>
      <c r="DK26" t="n">
        <f>SUM(BZ26:CL26)</f>
        <v>0</v>
      </c>
      <c r="DL26" t="n">
        <f>SUM(CM26:CY26)</f>
        <v>0</v>
      </c>
      <c r="DM26" t="str">
        <f>IF(AND(Projets!A26&lt;&gt;"",Projets!G26="Engager"),DM25&amp;IF(DM25="","",", ")&amp;Projets!B26,DM25)</f>
        <v/>
      </c>
      <c r="DN26" t="str">
        <f>IF(AND(Projets!A26&lt;&gt;"",Projets!G26="Reporter"),DN25&amp;IF(DN25="","",", ")&amp;Projets!B26,DN25)</f>
        <v/>
      </c>
    </row>
    <row r="27">
      <c r="A27" t="n">
        <f>Charges!A27</f>
        <v>0</v>
      </c>
      <c r="B27" t="n">
        <f>Charges!C27</f>
        <v>0</v>
      </c>
      <c r="C27" t="str">
        <f>Charges!D27</f>
        <v/>
      </c>
      <c r="E27" t="n">
        <f>IF(1&lt;=Paramètres!$B$9,MAX(0,IFERROR(N(IF(ISNUMBER(Charges!F27),MAX(0,Charges!F27),IFERROR(VLOOKUP(Charges!F27,Paramètres!$A$15:$B$18,2,FALSE),0))),0)),0)</f>
        <v>0</v>
      </c>
      <c r="F27" t="n">
        <f>IF(2&lt;=Paramètres!$B$9,MAX(0,IFERROR(N(IF(ISNUMBER(Charges!G27),MAX(0,Charges!G27),IFERROR(VLOOKUP(Charges!G27,Paramètres!$A$15:$B$18,2,FALSE),0))),0)),0)</f>
        <v>0</v>
      </c>
      <c r="G27" t="n">
        <f>IF(3&lt;=Paramètres!$B$9,MAX(0,IFERROR(N(IF(ISNUMBER(Charges!H27),MAX(0,Charges!H27),IFERROR(VLOOKUP(Charges!H27,Paramètres!$A$15:$B$18,2,FALSE),0))),0)),0)</f>
        <v>0</v>
      </c>
      <c r="H27" t="n">
        <f>IF(4&lt;=Paramètres!$B$9,MAX(0,IFERROR(N(IF(ISNUMBER(Charges!I27),MAX(0,Charges!I27),IFERROR(VLOOKUP(Charges!I27,Paramètres!$A$15:$B$18,2,FALSE),0))),0)),0)</f>
        <v>0</v>
      </c>
      <c r="I27" t="n">
        <f>IF(5&lt;=Paramètres!$B$9,MAX(0,IFERROR(N(IF(ISNUMBER(Charges!J27),MAX(0,Charges!J27),IFERROR(VLOOKUP(Charges!J27,Paramètres!$A$15:$B$18,2,FALSE),0))),0)),0)</f>
        <v>0</v>
      </c>
      <c r="J27" t="n">
        <f>IF(6&lt;=Paramètres!$B$9,MAX(0,IFERROR(N(IF(ISNUMBER(Charges!K27),MAX(0,Charges!K27),IFERROR(VLOOKUP(Charges!K27,Paramètres!$A$15:$B$18,2,FALSE),0))),0)),0)</f>
        <v>0</v>
      </c>
      <c r="K27" t="n">
        <f>IF(7&lt;=Paramètres!$B$9,MAX(0,IFERROR(N(IF(ISNUMBER(Charges!L27),MAX(0,Charges!L27),IFERROR(VLOOKUP(Charges!L27,Paramètres!$A$15:$B$18,2,FALSE),0))),0)),0)</f>
        <v>0</v>
      </c>
      <c r="L27" t="n">
        <f>IF(8&lt;=Paramètres!$B$9,MAX(0,IFERROR(N(IF(ISNUMBER(Charges!M27),MAX(0,Charges!M27),IFERROR(VLOOKUP(Charges!M27,Paramètres!$A$15:$B$18,2,FALSE),0))),0)),0)</f>
        <v>0</v>
      </c>
      <c r="M27" t="n">
        <f>IF(9&lt;=Paramètres!$B$9,MAX(0,IFERROR(N(IF(ISNUMBER(Charges!N27),MAX(0,Charges!N27),IFERROR(VLOOKUP(Charges!N27,Paramètres!$A$15:$B$18,2,FALSE),0))),0)),0)</f>
        <v>0</v>
      </c>
      <c r="N27" t="n">
        <f>IF(10&lt;=Paramètres!$B$9,MAX(0,IFERROR(N(IF(ISNUMBER(Charges!O27),MAX(0,Charges!O27),IFERROR(VLOOKUP(Charges!O27,Paramètres!$A$15:$B$18,2,FALSE),0))),0)),0)</f>
        <v>0</v>
      </c>
      <c r="O27" t="n">
        <f>IF(11&lt;=Paramètres!$B$9,MAX(0,IFERROR(N(IF(ISNUMBER(Charges!P27),MAX(0,Charges!P27),IFERROR(VLOOKUP(Charges!P27,Paramètres!$A$15:$B$18,2,FALSE),0))),0)),0)</f>
        <v>0</v>
      </c>
      <c r="P27" t="n">
        <f>IF(12&lt;=Paramètres!$B$9,MAX(0,IFERROR(N(IF(ISNUMBER(Charges!Q27),MAX(0,Charges!Q27),IFERROR(VLOOKUP(Charges!Q27,Paramètres!$A$15:$B$18,2,FALSE),0))),0)),0)</f>
        <v>0</v>
      </c>
      <c r="Q27" t="n">
        <f>IF(13&lt;=Paramètres!$B$9,MAX(0,IFERROR(N(IF(ISNUMBER(Charges!R27),MAX(0,Charges!R27),IFERROR(VLOOKUP(Charges!R27,Paramètres!$A$15:$B$18,2,FALSE),0))),0)),0)</f>
        <v>0</v>
      </c>
      <c r="R27" t="n">
        <f>SUM(E27:Q27)</f>
        <v>0</v>
      </c>
      <c r="S27" t="n">
        <f>IF(IFERROR(VLOOKUP(A27,'Projets'!$A$8:$Z$67,7,FALSE),"")="Engager",1,0)</f>
        <v>0</v>
      </c>
      <c r="T27" t="n">
        <f>IF(OR(Charges!F27="",AND(ISNUMBER(Charges!F27),Charges!F27&gt;=0),Charges!F27="S",Charges!F27="M",Charges!F27="L",Charges!F27="XL"),0,1)+IF(OR(Charges!G27="",AND(ISNUMBER(Charges!G27),Charges!G27&gt;=0),Charges!G27="S",Charges!G27="M",Charges!G27="L",Charges!G27="XL"),0,1)+IF(OR(Charges!H27="",AND(ISNUMBER(Charges!H27),Charges!H27&gt;=0),Charges!H27="S",Charges!H27="M",Charges!H27="L",Charges!H27="XL"),0,1)+IF(OR(Charges!I27="",AND(ISNUMBER(Charges!I27),Charges!I27&gt;=0),Charges!I27="S",Charges!I27="M",Charges!I27="L",Charges!I27="XL"),0,1)+IF(OR(Charges!J27="",AND(ISNUMBER(Charges!J27),Charges!J27&gt;=0),Charges!J27="S",Charges!J27="M",Charges!J27="L",Charges!J27="XL"),0,1)+IF(OR(Charges!K27="",AND(ISNUMBER(Charges!K27),Charges!K27&gt;=0),Charges!K27="S",Charges!K27="M",Charges!K27="L",Charges!K27="XL"),0,1)+IF(OR(Charges!L27="",AND(ISNUMBER(Charges!L27),Charges!L27&gt;=0),Charges!L27="S",Charges!L27="M",Charges!L27="L",Charges!L27="XL"),0,1)+IF(OR(Charges!M27="",AND(ISNUMBER(Charges!M27),Charges!M27&gt;=0),Charges!M27="S",Charges!M27="M",Charges!M27="L",Charges!M27="XL"),0,1)+IF(OR(Charges!N27="",AND(ISNUMBER(Charges!N27),Charges!N27&gt;=0),Charges!N27="S",Charges!N27="M",Charges!N27="L",Charges!N27="XL"),0,1)+IF(OR(Charges!O27="",AND(ISNUMBER(Charges!O27),Charges!O27&gt;=0),Charges!O27="S",Charges!O27="M",Charges!O27="L",Charges!O27="XL"),0,1)+IF(OR(Charges!P27="",AND(ISNUMBER(Charges!P27),Charges!P27&gt;=0),Charges!P27="S",Charges!P27="M",Charges!P27="L",Charges!P27="XL"),0,1)+IF(OR(Charges!Q27="",AND(ISNUMBER(Charges!Q27),Charges!Q27&gt;=0),Charges!Q27="S",Charges!Q27="M",Charges!Q27="L",Charges!Q27="XL"),0,1)+IF(OR(Charges!R27="",AND(ISNUMBER(Charges!R27),Charges!R27&gt;=0),Charges!R27="S",Charges!R27="M",Charges!R27="L",Charges!R27="XL"),0,1)</f>
        <v>0</v>
      </c>
      <c r="U27" t="n">
        <f>IF(AND(1&gt;Paramètres!$B$9,Charges!F27&lt;&gt;"",Charges!F27&lt;&gt;0),1,0)+IF(AND(2&gt;Paramètres!$B$9,Charges!G27&lt;&gt;"",Charges!G27&lt;&gt;0),1,0)+IF(AND(3&gt;Paramètres!$B$9,Charges!H27&lt;&gt;"",Charges!H27&lt;&gt;0),1,0)+IF(AND(4&gt;Paramètres!$B$9,Charges!I27&lt;&gt;"",Charges!I27&lt;&gt;0),1,0)+IF(AND(5&gt;Paramètres!$B$9,Charges!J27&lt;&gt;"",Charges!J27&lt;&gt;0),1,0)+IF(AND(6&gt;Paramètres!$B$9,Charges!K27&lt;&gt;"",Charges!K27&lt;&gt;0),1,0)+IF(AND(7&gt;Paramètres!$B$9,Charges!L27&lt;&gt;"",Charges!L27&lt;&gt;0),1,0)+IF(AND(8&gt;Paramètres!$B$9,Charges!M27&lt;&gt;"",Charges!M27&lt;&gt;0),1,0)+IF(AND(9&gt;Paramètres!$B$9,Charges!N27&lt;&gt;"",Charges!N27&lt;&gt;0),1,0)+IF(AND(10&gt;Paramètres!$B$9,Charges!O27&lt;&gt;"",Charges!O27&lt;&gt;0),1,0)+IF(AND(11&gt;Paramètres!$B$9,Charges!P27&lt;&gt;"",Charges!P27&lt;&gt;0),1,0)+IF(AND(12&gt;Paramètres!$B$9,Charges!Q27&lt;&gt;"",Charges!Q27&lt;&gt;0),1,0)+IF(AND(13&gt;Paramètres!$B$9,Charges!R27&lt;&gt;"",Charges!R27&lt;&gt;0),1,0)</f>
        <v>0</v>
      </c>
      <c r="V27" t="n">
        <f>IF(IFERROR(VLOOKUP(A27,'Projets'!$A$8:$Z$67,5,FALSE),"")="Engager",1,0)</f>
        <v>0</v>
      </c>
      <c r="W27" t="n">
        <f>IF(IFERROR(VLOOKUP(A27,'Projets'!$A$8:$Z$67,6,FALSE),"")="Engager",1,0)</f>
        <v>0</v>
      </c>
      <c r="X27" t="n">
        <f>E27*S27</f>
        <v>0</v>
      </c>
      <c r="Y27" t="n">
        <f>F27*S27</f>
        <v>0</v>
      </c>
      <c r="Z27" t="n">
        <f>G27*S27</f>
        <v>0</v>
      </c>
      <c r="AA27" t="n">
        <f>H27*S27</f>
        <v>0</v>
      </c>
      <c r="AB27" t="n">
        <f>I27*S27</f>
        <v>0</v>
      </c>
      <c r="AC27" t="n">
        <f>J27*S27</f>
        <v>0</v>
      </c>
      <c r="AD27" t="n">
        <f>K27*S27</f>
        <v>0</v>
      </c>
      <c r="AE27" t="n">
        <f>L27*S27</f>
        <v>0</v>
      </c>
      <c r="AF27" t="n">
        <f>M27*S27</f>
        <v>0</v>
      </c>
      <c r="AG27" t="n">
        <f>N27*S27</f>
        <v>0</v>
      </c>
      <c r="AH27" t="n">
        <f>O27*S27</f>
        <v>0</v>
      </c>
      <c r="AI27" t="n">
        <f>P27*S27</f>
        <v>0</v>
      </c>
      <c r="AJ27" t="n">
        <f>Q27*S27</f>
        <v>0</v>
      </c>
      <c r="AK27" t="n">
        <f>E27*V27</f>
        <v>0</v>
      </c>
      <c r="AL27" t="n">
        <f>F27*V27</f>
        <v>0</v>
      </c>
      <c r="AM27" t="n">
        <f>G27*V27</f>
        <v>0</v>
      </c>
      <c r="AN27" t="n">
        <f>H27*V27</f>
        <v>0</v>
      </c>
      <c r="AO27" t="n">
        <f>I27*V27</f>
        <v>0</v>
      </c>
      <c r="AP27" t="n">
        <f>J27*V27</f>
        <v>0</v>
      </c>
      <c r="AQ27" t="n">
        <f>K27*V27</f>
        <v>0</v>
      </c>
      <c r="AR27" t="n">
        <f>L27*V27</f>
        <v>0</v>
      </c>
      <c r="AS27" t="n">
        <f>M27*V27</f>
        <v>0</v>
      </c>
      <c r="AT27" t="n">
        <f>N27*V27</f>
        <v>0</v>
      </c>
      <c r="AU27" t="n">
        <f>O27*V27</f>
        <v>0</v>
      </c>
      <c r="AV27" t="n">
        <f>P27*V27</f>
        <v>0</v>
      </c>
      <c r="AW27" t="n">
        <f>Q27*V27</f>
        <v>0</v>
      </c>
      <c r="AX27" t="n">
        <f>E27*W27</f>
        <v>0</v>
      </c>
      <c r="AY27" t="n">
        <f>F27*W27</f>
        <v>0</v>
      </c>
      <c r="AZ27" t="n">
        <f>G27*W27</f>
        <v>0</v>
      </c>
      <c r="BA27" t="n">
        <f>H27*W27</f>
        <v>0</v>
      </c>
      <c r="BB27" t="n">
        <f>I27*W27</f>
        <v>0</v>
      </c>
      <c r="BC27" t="n">
        <f>J27*W27</f>
        <v>0</v>
      </c>
      <c r="BD27" t="n">
        <f>K27*W27</f>
        <v>0</v>
      </c>
      <c r="BE27" t="n">
        <f>L27*W27</f>
        <v>0</v>
      </c>
      <c r="BF27" t="n">
        <f>M27*W27</f>
        <v>0</v>
      </c>
      <c r="BG27" t="n">
        <f>N27*W27</f>
        <v>0</v>
      </c>
      <c r="BH27" t="n">
        <f>O27*W27</f>
        <v>0</v>
      </c>
      <c r="BI27" t="n">
        <f>P27*W27</f>
        <v>0</v>
      </c>
      <c r="BJ27" t="n">
        <f>Q27*W27</f>
        <v>0</v>
      </c>
      <c r="BM27" t="n">
        <f>IF(OR(Personnes!$A27="",1&gt;Paramètres!$B$9),0,MAX(0,SUMIF($B$8:$B$247,Personnes!$A27,$E$8:$E$247)-'Planning par personne'!C27))</f>
        <v>0</v>
      </c>
      <c r="BN27" t="n">
        <f>IF(OR(Personnes!$A27="",2&gt;Paramètres!$B$9),0,MAX(0,SUMIF($B$8:$B$247,Personnes!$A27,$F$8:$F$247)-'Planning par personne'!D27))</f>
        <v>0</v>
      </c>
      <c r="BO27" t="n">
        <f>IF(OR(Personnes!$A27="",3&gt;Paramètres!$B$9),0,MAX(0,SUMIF($B$8:$B$247,Personnes!$A27,$G$8:$G$247)-'Planning par personne'!E27))</f>
        <v>0</v>
      </c>
      <c r="BP27" t="n">
        <f>IF(OR(Personnes!$A27="",4&gt;Paramètres!$B$9),0,MAX(0,SUMIF($B$8:$B$247,Personnes!$A27,$H$8:$H$247)-'Planning par personne'!F27))</f>
        <v>0</v>
      </c>
      <c r="BQ27" t="n">
        <f>IF(OR(Personnes!$A27="",5&gt;Paramètres!$B$9),0,MAX(0,SUMIF($B$8:$B$247,Personnes!$A27,$I$8:$I$247)-'Planning par personne'!G27))</f>
        <v>0</v>
      </c>
      <c r="BR27" t="n">
        <f>IF(OR(Personnes!$A27="",6&gt;Paramètres!$B$9),0,MAX(0,SUMIF($B$8:$B$247,Personnes!$A27,$J$8:$J$247)-'Planning par personne'!H27))</f>
        <v>0</v>
      </c>
      <c r="BS27" t="n">
        <f>IF(OR(Personnes!$A27="",7&gt;Paramètres!$B$9),0,MAX(0,SUMIF($B$8:$B$247,Personnes!$A27,$K$8:$K$247)-'Planning par personne'!I27))</f>
        <v>0</v>
      </c>
      <c r="BT27" t="n">
        <f>IF(OR(Personnes!$A27="",8&gt;Paramètres!$B$9),0,MAX(0,SUMIF($B$8:$B$247,Personnes!$A27,$L$8:$L$247)-'Planning par personne'!J27))</f>
        <v>0</v>
      </c>
      <c r="BU27" t="n">
        <f>IF(OR(Personnes!$A27="",9&gt;Paramètres!$B$9),0,MAX(0,SUMIF($B$8:$B$247,Personnes!$A27,$M$8:$M$247)-'Planning par personne'!K27))</f>
        <v>0</v>
      </c>
      <c r="BV27" t="n">
        <f>IF(OR(Personnes!$A27="",10&gt;Paramètres!$B$9),0,MAX(0,SUMIF($B$8:$B$247,Personnes!$A27,$N$8:$N$247)-'Planning par personne'!L27))</f>
        <v>0</v>
      </c>
      <c r="BW27" t="n">
        <f>IF(OR(Personnes!$A27="",11&gt;Paramètres!$B$9),0,MAX(0,SUMIF($B$8:$B$247,Personnes!$A27,$O$8:$O$247)-'Planning par personne'!M27))</f>
        <v>0</v>
      </c>
      <c r="BX27" t="n">
        <f>IF(OR(Personnes!$A27="",12&gt;Paramètres!$B$9),0,MAX(0,SUMIF($B$8:$B$247,Personnes!$A27,$P$8:$P$247)-'Planning par personne'!N27))</f>
        <v>0</v>
      </c>
      <c r="BY27" t="n">
        <f>IF(OR(Personnes!$A27="",13&gt;Paramètres!$B$9),0,MAX(0,SUMIF($B$8:$B$247,Personnes!$A27,$Q$8:$Q$247)-'Planning par personne'!O27))</f>
        <v>0</v>
      </c>
      <c r="BZ27" t="n">
        <f>IF(OR(Personnes!$A27="",1&gt;Paramètres!$B$9),0,MAX(0,SUMIF($B$8:$B$247,Personnes!$A27,$AK$8:$AK$247)-'Planning par personne'!C27))</f>
        <v>0</v>
      </c>
      <c r="CA27" t="n">
        <f>IF(OR(Personnes!$A27="",2&gt;Paramètres!$B$9),0,MAX(0,SUMIF($B$8:$B$247,Personnes!$A27,$AL$8:$AL$247)-'Planning par personne'!D27))</f>
        <v>0</v>
      </c>
      <c r="CB27" t="n">
        <f>IF(OR(Personnes!$A27="",3&gt;Paramètres!$B$9),0,MAX(0,SUMIF($B$8:$B$247,Personnes!$A27,$AM$8:$AM$247)-'Planning par personne'!E27))</f>
        <v>0</v>
      </c>
      <c r="CC27" t="n">
        <f>IF(OR(Personnes!$A27="",4&gt;Paramètres!$B$9),0,MAX(0,SUMIF($B$8:$B$247,Personnes!$A27,$AN$8:$AN$247)-'Planning par personne'!F27))</f>
        <v>0</v>
      </c>
      <c r="CD27" t="n">
        <f>IF(OR(Personnes!$A27="",5&gt;Paramètres!$B$9),0,MAX(0,SUMIF($B$8:$B$247,Personnes!$A27,$AO$8:$AO$247)-'Planning par personne'!G27))</f>
        <v>0</v>
      </c>
      <c r="CE27" t="n">
        <f>IF(OR(Personnes!$A27="",6&gt;Paramètres!$B$9),0,MAX(0,SUMIF($B$8:$B$247,Personnes!$A27,$AP$8:$AP$247)-'Planning par personne'!H27))</f>
        <v>0</v>
      </c>
      <c r="CF27" t="n">
        <f>IF(OR(Personnes!$A27="",7&gt;Paramètres!$B$9),0,MAX(0,SUMIF($B$8:$B$247,Personnes!$A27,$AQ$8:$AQ$247)-'Planning par personne'!I27))</f>
        <v>0</v>
      </c>
      <c r="CG27" t="n">
        <f>IF(OR(Personnes!$A27="",8&gt;Paramètres!$B$9),0,MAX(0,SUMIF($B$8:$B$247,Personnes!$A27,$AR$8:$AR$247)-'Planning par personne'!J27))</f>
        <v>0</v>
      </c>
      <c r="CH27" t="n">
        <f>IF(OR(Personnes!$A27="",9&gt;Paramètres!$B$9),0,MAX(0,SUMIF($B$8:$B$247,Personnes!$A27,$AS$8:$AS$247)-'Planning par personne'!K27))</f>
        <v>0</v>
      </c>
      <c r="CI27" t="n">
        <f>IF(OR(Personnes!$A27="",10&gt;Paramètres!$B$9),0,MAX(0,SUMIF($B$8:$B$247,Personnes!$A27,$AT$8:$AT$247)-'Planning par personne'!L27))</f>
        <v>0</v>
      </c>
      <c r="CJ27" t="n">
        <f>IF(OR(Personnes!$A27="",11&gt;Paramètres!$B$9),0,MAX(0,SUMIF($B$8:$B$247,Personnes!$A27,$AU$8:$AU$247)-'Planning par personne'!M27))</f>
        <v>0</v>
      </c>
      <c r="CK27" t="n">
        <f>IF(OR(Personnes!$A27="",12&gt;Paramètres!$B$9),0,MAX(0,SUMIF($B$8:$B$247,Personnes!$A27,$AV$8:$AV$247)-'Planning par personne'!N27))</f>
        <v>0</v>
      </c>
      <c r="CL27" t="n">
        <f>IF(OR(Personnes!$A27="",13&gt;Paramètres!$B$9),0,MAX(0,SUMIF($B$8:$B$247,Personnes!$A27,$AW$8:$AW$247)-'Planning par personne'!O27))</f>
        <v>0</v>
      </c>
      <c r="CM27" t="n">
        <f>IF(OR(Personnes!$A27="",1&gt;Paramètres!$B$9),0,MAX(0,SUMIF($B$8:$B$247,Personnes!$A27,$AX$8:$AX$247)-'Planning par personne'!C27))</f>
        <v>0</v>
      </c>
      <c r="CN27" t="n">
        <f>IF(OR(Personnes!$A27="",2&gt;Paramètres!$B$9),0,MAX(0,SUMIF($B$8:$B$247,Personnes!$A27,$AY$8:$AY$247)-'Planning par personne'!D27))</f>
        <v>0</v>
      </c>
      <c r="CO27" t="n">
        <f>IF(OR(Personnes!$A27="",3&gt;Paramètres!$B$9),0,MAX(0,SUMIF($B$8:$B$247,Personnes!$A27,$AZ$8:$AZ$247)-'Planning par personne'!E27))</f>
        <v>0</v>
      </c>
      <c r="CP27" t="n">
        <f>IF(OR(Personnes!$A27="",4&gt;Paramètres!$B$9),0,MAX(0,SUMIF($B$8:$B$247,Personnes!$A27,$BA$8:$BA$247)-'Planning par personne'!F27))</f>
        <v>0</v>
      </c>
      <c r="CQ27" t="n">
        <f>IF(OR(Personnes!$A27="",5&gt;Paramètres!$B$9),0,MAX(0,SUMIF($B$8:$B$247,Personnes!$A27,$BB$8:$BB$247)-'Planning par personne'!G27))</f>
        <v>0</v>
      </c>
      <c r="CR27" t="n">
        <f>IF(OR(Personnes!$A27="",6&gt;Paramètres!$B$9),0,MAX(0,SUMIF($B$8:$B$247,Personnes!$A27,$BC$8:$BC$247)-'Planning par personne'!H27))</f>
        <v>0</v>
      </c>
      <c r="CS27" t="n">
        <f>IF(OR(Personnes!$A27="",7&gt;Paramètres!$B$9),0,MAX(0,SUMIF($B$8:$B$247,Personnes!$A27,$BD$8:$BD$247)-'Planning par personne'!I27))</f>
        <v>0</v>
      </c>
      <c r="CT27" t="n">
        <f>IF(OR(Personnes!$A27="",8&gt;Paramètres!$B$9),0,MAX(0,SUMIF($B$8:$B$247,Personnes!$A27,$BE$8:$BE$247)-'Planning par personne'!J27))</f>
        <v>0</v>
      </c>
      <c r="CU27" t="n">
        <f>IF(OR(Personnes!$A27="",9&gt;Paramètres!$B$9),0,MAX(0,SUMIF($B$8:$B$247,Personnes!$A27,$BF$8:$BF$247)-'Planning par personne'!K27))</f>
        <v>0</v>
      </c>
      <c r="CV27" t="n">
        <f>IF(OR(Personnes!$A27="",10&gt;Paramètres!$B$9),0,MAX(0,SUMIF($B$8:$B$247,Personnes!$A27,$BG$8:$BG$247)-'Planning par personne'!L27))</f>
        <v>0</v>
      </c>
      <c r="CW27" t="n">
        <f>IF(OR(Personnes!$A27="",11&gt;Paramètres!$B$9),0,MAX(0,SUMIF($B$8:$B$247,Personnes!$A27,$BH$8:$BH$247)-'Planning par personne'!M27))</f>
        <v>0</v>
      </c>
      <c r="CX27" t="n">
        <f>IF(OR(Personnes!$A27="",12&gt;Paramètres!$B$9),0,MAX(0,SUMIF($B$8:$B$247,Personnes!$A27,$BI$8:$BI$247)-'Planning par personne'!N27))</f>
        <v>0</v>
      </c>
      <c r="CY27" t="n">
        <f>IF(OR(Personnes!$A27="",13&gt;Paramètres!$B$9),0,MAX(0,SUMIF($B$8:$B$247,Personnes!$A27,$BJ$8:$BJ$247)-'Planning par personne'!O27))</f>
        <v>0</v>
      </c>
      <c r="DJ27" t="n">
        <f>SUM(BM27:BY27)</f>
        <v>0</v>
      </c>
      <c r="DK27" t="n">
        <f>SUM(BZ27:CL27)</f>
        <v>0</v>
      </c>
      <c r="DL27" t="n">
        <f>SUM(CM27:CY27)</f>
        <v>0</v>
      </c>
      <c r="DM27" t="str">
        <f>IF(AND(Projets!A27&lt;&gt;"",Projets!G27="Engager"),DM26&amp;IF(DM26="","",", ")&amp;Projets!B27,DM26)</f>
        <v/>
      </c>
      <c r="DN27" t="str">
        <f>IF(AND(Projets!A27&lt;&gt;"",Projets!G27="Reporter"),DN26&amp;IF(DN26="","",", ")&amp;Projets!B27,DN26)</f>
        <v/>
      </c>
    </row>
    <row r="28">
      <c r="A28" t="n">
        <f>Charges!A28</f>
        <v>0</v>
      </c>
      <c r="B28" t="n">
        <f>Charges!C28</f>
        <v>0</v>
      </c>
      <c r="C28" t="str">
        <f>Charges!D28</f>
        <v/>
      </c>
      <c r="E28" t="n">
        <f>IF(1&lt;=Paramètres!$B$9,MAX(0,IFERROR(N(IF(ISNUMBER(Charges!F28),MAX(0,Charges!F28),IFERROR(VLOOKUP(Charges!F28,Paramètres!$A$15:$B$18,2,FALSE),0))),0)),0)</f>
        <v>0</v>
      </c>
      <c r="F28" t="n">
        <f>IF(2&lt;=Paramètres!$B$9,MAX(0,IFERROR(N(IF(ISNUMBER(Charges!G28),MAX(0,Charges!G28),IFERROR(VLOOKUP(Charges!G28,Paramètres!$A$15:$B$18,2,FALSE),0))),0)),0)</f>
        <v>0</v>
      </c>
      <c r="G28" t="n">
        <f>IF(3&lt;=Paramètres!$B$9,MAX(0,IFERROR(N(IF(ISNUMBER(Charges!H28),MAX(0,Charges!H28),IFERROR(VLOOKUP(Charges!H28,Paramètres!$A$15:$B$18,2,FALSE),0))),0)),0)</f>
        <v>0</v>
      </c>
      <c r="H28" t="n">
        <f>IF(4&lt;=Paramètres!$B$9,MAX(0,IFERROR(N(IF(ISNUMBER(Charges!I28),MAX(0,Charges!I28),IFERROR(VLOOKUP(Charges!I28,Paramètres!$A$15:$B$18,2,FALSE),0))),0)),0)</f>
        <v>0</v>
      </c>
      <c r="I28" t="n">
        <f>IF(5&lt;=Paramètres!$B$9,MAX(0,IFERROR(N(IF(ISNUMBER(Charges!J28),MAX(0,Charges!J28),IFERROR(VLOOKUP(Charges!J28,Paramètres!$A$15:$B$18,2,FALSE),0))),0)),0)</f>
        <v>0</v>
      </c>
      <c r="J28" t="n">
        <f>IF(6&lt;=Paramètres!$B$9,MAX(0,IFERROR(N(IF(ISNUMBER(Charges!K28),MAX(0,Charges!K28),IFERROR(VLOOKUP(Charges!K28,Paramètres!$A$15:$B$18,2,FALSE),0))),0)),0)</f>
        <v>0</v>
      </c>
      <c r="K28" t="n">
        <f>IF(7&lt;=Paramètres!$B$9,MAX(0,IFERROR(N(IF(ISNUMBER(Charges!L28),MAX(0,Charges!L28),IFERROR(VLOOKUP(Charges!L28,Paramètres!$A$15:$B$18,2,FALSE),0))),0)),0)</f>
        <v>0</v>
      </c>
      <c r="L28" t="n">
        <f>IF(8&lt;=Paramètres!$B$9,MAX(0,IFERROR(N(IF(ISNUMBER(Charges!M28),MAX(0,Charges!M28),IFERROR(VLOOKUP(Charges!M28,Paramètres!$A$15:$B$18,2,FALSE),0))),0)),0)</f>
        <v>0</v>
      </c>
      <c r="M28" t="n">
        <f>IF(9&lt;=Paramètres!$B$9,MAX(0,IFERROR(N(IF(ISNUMBER(Charges!N28),MAX(0,Charges!N28),IFERROR(VLOOKUP(Charges!N28,Paramètres!$A$15:$B$18,2,FALSE),0))),0)),0)</f>
        <v>0</v>
      </c>
      <c r="N28" t="n">
        <f>IF(10&lt;=Paramètres!$B$9,MAX(0,IFERROR(N(IF(ISNUMBER(Charges!O28),MAX(0,Charges!O28),IFERROR(VLOOKUP(Charges!O28,Paramètres!$A$15:$B$18,2,FALSE),0))),0)),0)</f>
        <v>0</v>
      </c>
      <c r="O28" t="n">
        <f>IF(11&lt;=Paramètres!$B$9,MAX(0,IFERROR(N(IF(ISNUMBER(Charges!P28),MAX(0,Charges!P28),IFERROR(VLOOKUP(Charges!P28,Paramètres!$A$15:$B$18,2,FALSE),0))),0)),0)</f>
        <v>0</v>
      </c>
      <c r="P28" t="n">
        <f>IF(12&lt;=Paramètres!$B$9,MAX(0,IFERROR(N(IF(ISNUMBER(Charges!Q28),MAX(0,Charges!Q28),IFERROR(VLOOKUP(Charges!Q28,Paramètres!$A$15:$B$18,2,FALSE),0))),0)),0)</f>
        <v>0</v>
      </c>
      <c r="Q28" t="n">
        <f>IF(13&lt;=Paramètres!$B$9,MAX(0,IFERROR(N(IF(ISNUMBER(Charges!R28),MAX(0,Charges!R28),IFERROR(VLOOKUP(Charges!R28,Paramètres!$A$15:$B$18,2,FALSE),0))),0)),0)</f>
        <v>0</v>
      </c>
      <c r="R28" t="n">
        <f>SUM(E28:Q28)</f>
        <v>0</v>
      </c>
      <c r="S28" t="n">
        <f>IF(IFERROR(VLOOKUP(A28,'Projets'!$A$8:$Z$67,7,FALSE),"")="Engager",1,0)</f>
        <v>0</v>
      </c>
      <c r="T28" t="n">
        <f>IF(OR(Charges!F28="",AND(ISNUMBER(Charges!F28),Charges!F28&gt;=0),Charges!F28="S",Charges!F28="M",Charges!F28="L",Charges!F28="XL"),0,1)+IF(OR(Charges!G28="",AND(ISNUMBER(Charges!G28),Charges!G28&gt;=0),Charges!G28="S",Charges!G28="M",Charges!G28="L",Charges!G28="XL"),0,1)+IF(OR(Charges!H28="",AND(ISNUMBER(Charges!H28),Charges!H28&gt;=0),Charges!H28="S",Charges!H28="M",Charges!H28="L",Charges!H28="XL"),0,1)+IF(OR(Charges!I28="",AND(ISNUMBER(Charges!I28),Charges!I28&gt;=0),Charges!I28="S",Charges!I28="M",Charges!I28="L",Charges!I28="XL"),0,1)+IF(OR(Charges!J28="",AND(ISNUMBER(Charges!J28),Charges!J28&gt;=0),Charges!J28="S",Charges!J28="M",Charges!J28="L",Charges!J28="XL"),0,1)+IF(OR(Charges!K28="",AND(ISNUMBER(Charges!K28),Charges!K28&gt;=0),Charges!K28="S",Charges!K28="M",Charges!K28="L",Charges!K28="XL"),0,1)+IF(OR(Charges!L28="",AND(ISNUMBER(Charges!L28),Charges!L28&gt;=0),Charges!L28="S",Charges!L28="M",Charges!L28="L",Charges!L28="XL"),0,1)+IF(OR(Charges!M28="",AND(ISNUMBER(Charges!M28),Charges!M28&gt;=0),Charges!M28="S",Charges!M28="M",Charges!M28="L",Charges!M28="XL"),0,1)+IF(OR(Charges!N28="",AND(ISNUMBER(Charges!N28),Charges!N28&gt;=0),Charges!N28="S",Charges!N28="M",Charges!N28="L",Charges!N28="XL"),0,1)+IF(OR(Charges!O28="",AND(ISNUMBER(Charges!O28),Charges!O28&gt;=0),Charges!O28="S",Charges!O28="M",Charges!O28="L",Charges!O28="XL"),0,1)+IF(OR(Charges!P28="",AND(ISNUMBER(Charges!P28),Charges!P28&gt;=0),Charges!P28="S",Charges!P28="M",Charges!P28="L",Charges!P28="XL"),0,1)+IF(OR(Charges!Q28="",AND(ISNUMBER(Charges!Q28),Charges!Q28&gt;=0),Charges!Q28="S",Charges!Q28="M",Charges!Q28="L",Charges!Q28="XL"),0,1)+IF(OR(Charges!R28="",AND(ISNUMBER(Charges!R28),Charges!R28&gt;=0),Charges!R28="S",Charges!R28="M",Charges!R28="L",Charges!R28="XL"),0,1)</f>
        <v>0</v>
      </c>
      <c r="U28" t="n">
        <f>IF(AND(1&gt;Paramètres!$B$9,Charges!F28&lt;&gt;"",Charges!F28&lt;&gt;0),1,0)+IF(AND(2&gt;Paramètres!$B$9,Charges!G28&lt;&gt;"",Charges!G28&lt;&gt;0),1,0)+IF(AND(3&gt;Paramètres!$B$9,Charges!H28&lt;&gt;"",Charges!H28&lt;&gt;0),1,0)+IF(AND(4&gt;Paramètres!$B$9,Charges!I28&lt;&gt;"",Charges!I28&lt;&gt;0),1,0)+IF(AND(5&gt;Paramètres!$B$9,Charges!J28&lt;&gt;"",Charges!J28&lt;&gt;0),1,0)+IF(AND(6&gt;Paramètres!$B$9,Charges!K28&lt;&gt;"",Charges!K28&lt;&gt;0),1,0)+IF(AND(7&gt;Paramètres!$B$9,Charges!L28&lt;&gt;"",Charges!L28&lt;&gt;0),1,0)+IF(AND(8&gt;Paramètres!$B$9,Charges!M28&lt;&gt;"",Charges!M28&lt;&gt;0),1,0)+IF(AND(9&gt;Paramètres!$B$9,Charges!N28&lt;&gt;"",Charges!N28&lt;&gt;0),1,0)+IF(AND(10&gt;Paramètres!$B$9,Charges!O28&lt;&gt;"",Charges!O28&lt;&gt;0),1,0)+IF(AND(11&gt;Paramètres!$B$9,Charges!P28&lt;&gt;"",Charges!P28&lt;&gt;0),1,0)+IF(AND(12&gt;Paramètres!$B$9,Charges!Q28&lt;&gt;"",Charges!Q28&lt;&gt;0),1,0)+IF(AND(13&gt;Paramètres!$B$9,Charges!R28&lt;&gt;"",Charges!R28&lt;&gt;0),1,0)</f>
        <v>0</v>
      </c>
      <c r="V28" t="n">
        <f>IF(IFERROR(VLOOKUP(A28,'Projets'!$A$8:$Z$67,5,FALSE),"")="Engager",1,0)</f>
        <v>0</v>
      </c>
      <c r="W28" t="n">
        <f>IF(IFERROR(VLOOKUP(A28,'Projets'!$A$8:$Z$67,6,FALSE),"")="Engager",1,0)</f>
        <v>0</v>
      </c>
      <c r="X28" t="n">
        <f>E28*S28</f>
        <v>0</v>
      </c>
      <c r="Y28" t="n">
        <f>F28*S28</f>
        <v>0</v>
      </c>
      <c r="Z28" t="n">
        <f>G28*S28</f>
        <v>0</v>
      </c>
      <c r="AA28" t="n">
        <f>H28*S28</f>
        <v>0</v>
      </c>
      <c r="AB28" t="n">
        <f>I28*S28</f>
        <v>0</v>
      </c>
      <c r="AC28" t="n">
        <f>J28*S28</f>
        <v>0</v>
      </c>
      <c r="AD28" t="n">
        <f>K28*S28</f>
        <v>0</v>
      </c>
      <c r="AE28" t="n">
        <f>L28*S28</f>
        <v>0</v>
      </c>
      <c r="AF28" t="n">
        <f>M28*S28</f>
        <v>0</v>
      </c>
      <c r="AG28" t="n">
        <f>N28*S28</f>
        <v>0</v>
      </c>
      <c r="AH28" t="n">
        <f>O28*S28</f>
        <v>0</v>
      </c>
      <c r="AI28" t="n">
        <f>P28*S28</f>
        <v>0</v>
      </c>
      <c r="AJ28" t="n">
        <f>Q28*S28</f>
        <v>0</v>
      </c>
      <c r="AK28" t="n">
        <f>E28*V28</f>
        <v>0</v>
      </c>
      <c r="AL28" t="n">
        <f>F28*V28</f>
        <v>0</v>
      </c>
      <c r="AM28" t="n">
        <f>G28*V28</f>
        <v>0</v>
      </c>
      <c r="AN28" t="n">
        <f>H28*V28</f>
        <v>0</v>
      </c>
      <c r="AO28" t="n">
        <f>I28*V28</f>
        <v>0</v>
      </c>
      <c r="AP28" t="n">
        <f>J28*V28</f>
        <v>0</v>
      </c>
      <c r="AQ28" t="n">
        <f>K28*V28</f>
        <v>0</v>
      </c>
      <c r="AR28" t="n">
        <f>L28*V28</f>
        <v>0</v>
      </c>
      <c r="AS28" t="n">
        <f>M28*V28</f>
        <v>0</v>
      </c>
      <c r="AT28" t="n">
        <f>N28*V28</f>
        <v>0</v>
      </c>
      <c r="AU28" t="n">
        <f>O28*V28</f>
        <v>0</v>
      </c>
      <c r="AV28" t="n">
        <f>P28*V28</f>
        <v>0</v>
      </c>
      <c r="AW28" t="n">
        <f>Q28*V28</f>
        <v>0</v>
      </c>
      <c r="AX28" t="n">
        <f>E28*W28</f>
        <v>0</v>
      </c>
      <c r="AY28" t="n">
        <f>F28*W28</f>
        <v>0</v>
      </c>
      <c r="AZ28" t="n">
        <f>G28*W28</f>
        <v>0</v>
      </c>
      <c r="BA28" t="n">
        <f>H28*W28</f>
        <v>0</v>
      </c>
      <c r="BB28" t="n">
        <f>I28*W28</f>
        <v>0</v>
      </c>
      <c r="BC28" t="n">
        <f>J28*W28</f>
        <v>0</v>
      </c>
      <c r="BD28" t="n">
        <f>K28*W28</f>
        <v>0</v>
      </c>
      <c r="BE28" t="n">
        <f>L28*W28</f>
        <v>0</v>
      </c>
      <c r="BF28" t="n">
        <f>M28*W28</f>
        <v>0</v>
      </c>
      <c r="BG28" t="n">
        <f>N28*W28</f>
        <v>0</v>
      </c>
      <c r="BH28" t="n">
        <f>O28*W28</f>
        <v>0</v>
      </c>
      <c r="BI28" t="n">
        <f>P28*W28</f>
        <v>0</v>
      </c>
      <c r="BJ28" t="n">
        <f>Q28*W28</f>
        <v>0</v>
      </c>
      <c r="BM28" t="n">
        <f>IF(OR(Personnes!$A28="",1&gt;Paramètres!$B$9),0,MAX(0,SUMIF($B$8:$B$247,Personnes!$A28,$E$8:$E$247)-'Planning par personne'!C28))</f>
        <v>0</v>
      </c>
      <c r="BN28" t="n">
        <f>IF(OR(Personnes!$A28="",2&gt;Paramètres!$B$9),0,MAX(0,SUMIF($B$8:$B$247,Personnes!$A28,$F$8:$F$247)-'Planning par personne'!D28))</f>
        <v>0</v>
      </c>
      <c r="BO28" t="n">
        <f>IF(OR(Personnes!$A28="",3&gt;Paramètres!$B$9),0,MAX(0,SUMIF($B$8:$B$247,Personnes!$A28,$G$8:$G$247)-'Planning par personne'!E28))</f>
        <v>0</v>
      </c>
      <c r="BP28" t="n">
        <f>IF(OR(Personnes!$A28="",4&gt;Paramètres!$B$9),0,MAX(0,SUMIF($B$8:$B$247,Personnes!$A28,$H$8:$H$247)-'Planning par personne'!F28))</f>
        <v>0</v>
      </c>
      <c r="BQ28" t="n">
        <f>IF(OR(Personnes!$A28="",5&gt;Paramètres!$B$9),0,MAX(0,SUMIF($B$8:$B$247,Personnes!$A28,$I$8:$I$247)-'Planning par personne'!G28))</f>
        <v>0</v>
      </c>
      <c r="BR28" t="n">
        <f>IF(OR(Personnes!$A28="",6&gt;Paramètres!$B$9),0,MAX(0,SUMIF($B$8:$B$247,Personnes!$A28,$J$8:$J$247)-'Planning par personne'!H28))</f>
        <v>0</v>
      </c>
      <c r="BS28" t="n">
        <f>IF(OR(Personnes!$A28="",7&gt;Paramètres!$B$9),0,MAX(0,SUMIF($B$8:$B$247,Personnes!$A28,$K$8:$K$247)-'Planning par personne'!I28))</f>
        <v>0</v>
      </c>
      <c r="BT28" t="n">
        <f>IF(OR(Personnes!$A28="",8&gt;Paramètres!$B$9),0,MAX(0,SUMIF($B$8:$B$247,Personnes!$A28,$L$8:$L$247)-'Planning par personne'!J28))</f>
        <v>0</v>
      </c>
      <c r="BU28" t="n">
        <f>IF(OR(Personnes!$A28="",9&gt;Paramètres!$B$9),0,MAX(0,SUMIF($B$8:$B$247,Personnes!$A28,$M$8:$M$247)-'Planning par personne'!K28))</f>
        <v>0</v>
      </c>
      <c r="BV28" t="n">
        <f>IF(OR(Personnes!$A28="",10&gt;Paramètres!$B$9),0,MAX(0,SUMIF($B$8:$B$247,Personnes!$A28,$N$8:$N$247)-'Planning par personne'!L28))</f>
        <v>0</v>
      </c>
      <c r="BW28" t="n">
        <f>IF(OR(Personnes!$A28="",11&gt;Paramètres!$B$9),0,MAX(0,SUMIF($B$8:$B$247,Personnes!$A28,$O$8:$O$247)-'Planning par personne'!M28))</f>
        <v>0</v>
      </c>
      <c r="BX28" t="n">
        <f>IF(OR(Personnes!$A28="",12&gt;Paramètres!$B$9),0,MAX(0,SUMIF($B$8:$B$247,Personnes!$A28,$P$8:$P$247)-'Planning par personne'!N28))</f>
        <v>0</v>
      </c>
      <c r="BY28" t="n">
        <f>IF(OR(Personnes!$A28="",13&gt;Paramètres!$B$9),0,MAX(0,SUMIF($B$8:$B$247,Personnes!$A28,$Q$8:$Q$247)-'Planning par personne'!O28))</f>
        <v>0</v>
      </c>
      <c r="BZ28" t="n">
        <f>IF(OR(Personnes!$A28="",1&gt;Paramètres!$B$9),0,MAX(0,SUMIF($B$8:$B$247,Personnes!$A28,$AK$8:$AK$247)-'Planning par personne'!C28))</f>
        <v>0</v>
      </c>
      <c r="CA28" t="n">
        <f>IF(OR(Personnes!$A28="",2&gt;Paramètres!$B$9),0,MAX(0,SUMIF($B$8:$B$247,Personnes!$A28,$AL$8:$AL$247)-'Planning par personne'!D28))</f>
        <v>0</v>
      </c>
      <c r="CB28" t="n">
        <f>IF(OR(Personnes!$A28="",3&gt;Paramètres!$B$9),0,MAX(0,SUMIF($B$8:$B$247,Personnes!$A28,$AM$8:$AM$247)-'Planning par personne'!E28))</f>
        <v>0</v>
      </c>
      <c r="CC28" t="n">
        <f>IF(OR(Personnes!$A28="",4&gt;Paramètres!$B$9),0,MAX(0,SUMIF($B$8:$B$247,Personnes!$A28,$AN$8:$AN$247)-'Planning par personne'!F28))</f>
        <v>0</v>
      </c>
      <c r="CD28" t="n">
        <f>IF(OR(Personnes!$A28="",5&gt;Paramètres!$B$9),0,MAX(0,SUMIF($B$8:$B$247,Personnes!$A28,$AO$8:$AO$247)-'Planning par personne'!G28))</f>
        <v>0</v>
      </c>
      <c r="CE28" t="n">
        <f>IF(OR(Personnes!$A28="",6&gt;Paramètres!$B$9),0,MAX(0,SUMIF($B$8:$B$247,Personnes!$A28,$AP$8:$AP$247)-'Planning par personne'!H28))</f>
        <v>0</v>
      </c>
      <c r="CF28" t="n">
        <f>IF(OR(Personnes!$A28="",7&gt;Paramètres!$B$9),0,MAX(0,SUMIF($B$8:$B$247,Personnes!$A28,$AQ$8:$AQ$247)-'Planning par personne'!I28))</f>
        <v>0</v>
      </c>
      <c r="CG28" t="n">
        <f>IF(OR(Personnes!$A28="",8&gt;Paramètres!$B$9),0,MAX(0,SUMIF($B$8:$B$247,Personnes!$A28,$AR$8:$AR$247)-'Planning par personne'!J28))</f>
        <v>0</v>
      </c>
      <c r="CH28" t="n">
        <f>IF(OR(Personnes!$A28="",9&gt;Paramètres!$B$9),0,MAX(0,SUMIF($B$8:$B$247,Personnes!$A28,$AS$8:$AS$247)-'Planning par personne'!K28))</f>
        <v>0</v>
      </c>
      <c r="CI28" t="n">
        <f>IF(OR(Personnes!$A28="",10&gt;Paramètres!$B$9),0,MAX(0,SUMIF($B$8:$B$247,Personnes!$A28,$AT$8:$AT$247)-'Planning par personne'!L28))</f>
        <v>0</v>
      </c>
      <c r="CJ28" t="n">
        <f>IF(OR(Personnes!$A28="",11&gt;Paramètres!$B$9),0,MAX(0,SUMIF($B$8:$B$247,Personnes!$A28,$AU$8:$AU$247)-'Planning par personne'!M28))</f>
        <v>0</v>
      </c>
      <c r="CK28" t="n">
        <f>IF(OR(Personnes!$A28="",12&gt;Paramètres!$B$9),0,MAX(0,SUMIF($B$8:$B$247,Personnes!$A28,$AV$8:$AV$247)-'Planning par personne'!N28))</f>
        <v>0</v>
      </c>
      <c r="CL28" t="n">
        <f>IF(OR(Personnes!$A28="",13&gt;Paramètres!$B$9),0,MAX(0,SUMIF($B$8:$B$247,Personnes!$A28,$AW$8:$AW$247)-'Planning par personne'!O28))</f>
        <v>0</v>
      </c>
      <c r="CM28" t="n">
        <f>IF(OR(Personnes!$A28="",1&gt;Paramètres!$B$9),0,MAX(0,SUMIF($B$8:$B$247,Personnes!$A28,$AX$8:$AX$247)-'Planning par personne'!C28))</f>
        <v>0</v>
      </c>
      <c r="CN28" t="n">
        <f>IF(OR(Personnes!$A28="",2&gt;Paramètres!$B$9),0,MAX(0,SUMIF($B$8:$B$247,Personnes!$A28,$AY$8:$AY$247)-'Planning par personne'!D28))</f>
        <v>0</v>
      </c>
      <c r="CO28" t="n">
        <f>IF(OR(Personnes!$A28="",3&gt;Paramètres!$B$9),0,MAX(0,SUMIF($B$8:$B$247,Personnes!$A28,$AZ$8:$AZ$247)-'Planning par personne'!E28))</f>
        <v>0</v>
      </c>
      <c r="CP28" t="n">
        <f>IF(OR(Personnes!$A28="",4&gt;Paramètres!$B$9),0,MAX(0,SUMIF($B$8:$B$247,Personnes!$A28,$BA$8:$BA$247)-'Planning par personne'!F28))</f>
        <v>0</v>
      </c>
      <c r="CQ28" t="n">
        <f>IF(OR(Personnes!$A28="",5&gt;Paramètres!$B$9),0,MAX(0,SUMIF($B$8:$B$247,Personnes!$A28,$BB$8:$BB$247)-'Planning par personne'!G28))</f>
        <v>0</v>
      </c>
      <c r="CR28" t="n">
        <f>IF(OR(Personnes!$A28="",6&gt;Paramètres!$B$9),0,MAX(0,SUMIF($B$8:$B$247,Personnes!$A28,$BC$8:$BC$247)-'Planning par personne'!H28))</f>
        <v>0</v>
      </c>
      <c r="CS28" t="n">
        <f>IF(OR(Personnes!$A28="",7&gt;Paramètres!$B$9),0,MAX(0,SUMIF($B$8:$B$247,Personnes!$A28,$BD$8:$BD$247)-'Planning par personne'!I28))</f>
        <v>0</v>
      </c>
      <c r="CT28" t="n">
        <f>IF(OR(Personnes!$A28="",8&gt;Paramètres!$B$9),0,MAX(0,SUMIF($B$8:$B$247,Personnes!$A28,$BE$8:$BE$247)-'Planning par personne'!J28))</f>
        <v>0</v>
      </c>
      <c r="CU28" t="n">
        <f>IF(OR(Personnes!$A28="",9&gt;Paramètres!$B$9),0,MAX(0,SUMIF($B$8:$B$247,Personnes!$A28,$BF$8:$BF$247)-'Planning par personne'!K28))</f>
        <v>0</v>
      </c>
      <c r="CV28" t="n">
        <f>IF(OR(Personnes!$A28="",10&gt;Paramètres!$B$9),0,MAX(0,SUMIF($B$8:$B$247,Personnes!$A28,$BG$8:$BG$247)-'Planning par personne'!L28))</f>
        <v>0</v>
      </c>
      <c r="CW28" t="n">
        <f>IF(OR(Personnes!$A28="",11&gt;Paramètres!$B$9),0,MAX(0,SUMIF($B$8:$B$247,Personnes!$A28,$BH$8:$BH$247)-'Planning par personne'!M28))</f>
        <v>0</v>
      </c>
      <c r="CX28" t="n">
        <f>IF(OR(Personnes!$A28="",12&gt;Paramètres!$B$9),0,MAX(0,SUMIF($B$8:$B$247,Personnes!$A28,$BI$8:$BI$247)-'Planning par personne'!N28))</f>
        <v>0</v>
      </c>
      <c r="CY28" t="n">
        <f>IF(OR(Personnes!$A28="",13&gt;Paramètres!$B$9),0,MAX(0,SUMIF($B$8:$B$247,Personnes!$A28,$BJ$8:$BJ$247)-'Planning par personne'!O28))</f>
        <v>0</v>
      </c>
      <c r="DJ28" t="n">
        <f>SUM(BM28:BY28)</f>
        <v>0</v>
      </c>
      <c r="DK28" t="n">
        <f>SUM(BZ28:CL28)</f>
        <v>0</v>
      </c>
      <c r="DL28" t="n">
        <f>SUM(CM28:CY28)</f>
        <v>0</v>
      </c>
      <c r="DM28" t="str">
        <f>IF(AND(Projets!A28&lt;&gt;"",Projets!G28="Engager"),DM27&amp;IF(DM27="","",", ")&amp;Projets!B28,DM27)</f>
        <v/>
      </c>
      <c r="DN28" t="str">
        <f>IF(AND(Projets!A28&lt;&gt;"",Projets!G28="Reporter"),DN27&amp;IF(DN27="","",", ")&amp;Projets!B28,DN27)</f>
        <v/>
      </c>
    </row>
    <row r="29">
      <c r="A29" t="n">
        <f>Charges!A29</f>
        <v>0</v>
      </c>
      <c r="B29" t="n">
        <f>Charges!C29</f>
        <v>0</v>
      </c>
      <c r="C29" t="str">
        <f>Charges!D29</f>
        <v/>
      </c>
      <c r="E29" t="n">
        <f>IF(1&lt;=Paramètres!$B$9,MAX(0,IFERROR(N(IF(ISNUMBER(Charges!F29),MAX(0,Charges!F29),IFERROR(VLOOKUP(Charges!F29,Paramètres!$A$15:$B$18,2,FALSE),0))),0)),0)</f>
        <v>0</v>
      </c>
      <c r="F29" t="n">
        <f>IF(2&lt;=Paramètres!$B$9,MAX(0,IFERROR(N(IF(ISNUMBER(Charges!G29),MAX(0,Charges!G29),IFERROR(VLOOKUP(Charges!G29,Paramètres!$A$15:$B$18,2,FALSE),0))),0)),0)</f>
        <v>0</v>
      </c>
      <c r="G29" t="n">
        <f>IF(3&lt;=Paramètres!$B$9,MAX(0,IFERROR(N(IF(ISNUMBER(Charges!H29),MAX(0,Charges!H29),IFERROR(VLOOKUP(Charges!H29,Paramètres!$A$15:$B$18,2,FALSE),0))),0)),0)</f>
        <v>0</v>
      </c>
      <c r="H29" t="n">
        <f>IF(4&lt;=Paramètres!$B$9,MAX(0,IFERROR(N(IF(ISNUMBER(Charges!I29),MAX(0,Charges!I29),IFERROR(VLOOKUP(Charges!I29,Paramètres!$A$15:$B$18,2,FALSE),0))),0)),0)</f>
        <v>0</v>
      </c>
      <c r="I29" t="n">
        <f>IF(5&lt;=Paramètres!$B$9,MAX(0,IFERROR(N(IF(ISNUMBER(Charges!J29),MAX(0,Charges!J29),IFERROR(VLOOKUP(Charges!J29,Paramètres!$A$15:$B$18,2,FALSE),0))),0)),0)</f>
        <v>0</v>
      </c>
      <c r="J29" t="n">
        <f>IF(6&lt;=Paramètres!$B$9,MAX(0,IFERROR(N(IF(ISNUMBER(Charges!K29),MAX(0,Charges!K29),IFERROR(VLOOKUP(Charges!K29,Paramètres!$A$15:$B$18,2,FALSE),0))),0)),0)</f>
        <v>0</v>
      </c>
      <c r="K29" t="n">
        <f>IF(7&lt;=Paramètres!$B$9,MAX(0,IFERROR(N(IF(ISNUMBER(Charges!L29),MAX(0,Charges!L29),IFERROR(VLOOKUP(Charges!L29,Paramètres!$A$15:$B$18,2,FALSE),0))),0)),0)</f>
        <v>0</v>
      </c>
      <c r="L29" t="n">
        <f>IF(8&lt;=Paramètres!$B$9,MAX(0,IFERROR(N(IF(ISNUMBER(Charges!M29),MAX(0,Charges!M29),IFERROR(VLOOKUP(Charges!M29,Paramètres!$A$15:$B$18,2,FALSE),0))),0)),0)</f>
        <v>0</v>
      </c>
      <c r="M29" t="n">
        <f>IF(9&lt;=Paramètres!$B$9,MAX(0,IFERROR(N(IF(ISNUMBER(Charges!N29),MAX(0,Charges!N29),IFERROR(VLOOKUP(Charges!N29,Paramètres!$A$15:$B$18,2,FALSE),0))),0)),0)</f>
        <v>0</v>
      </c>
      <c r="N29" t="n">
        <f>IF(10&lt;=Paramètres!$B$9,MAX(0,IFERROR(N(IF(ISNUMBER(Charges!O29),MAX(0,Charges!O29),IFERROR(VLOOKUP(Charges!O29,Paramètres!$A$15:$B$18,2,FALSE),0))),0)),0)</f>
        <v>0</v>
      </c>
      <c r="O29" t="n">
        <f>IF(11&lt;=Paramètres!$B$9,MAX(0,IFERROR(N(IF(ISNUMBER(Charges!P29),MAX(0,Charges!P29),IFERROR(VLOOKUP(Charges!P29,Paramètres!$A$15:$B$18,2,FALSE),0))),0)),0)</f>
        <v>0</v>
      </c>
      <c r="P29" t="n">
        <f>IF(12&lt;=Paramètres!$B$9,MAX(0,IFERROR(N(IF(ISNUMBER(Charges!Q29),MAX(0,Charges!Q29),IFERROR(VLOOKUP(Charges!Q29,Paramètres!$A$15:$B$18,2,FALSE),0))),0)),0)</f>
        <v>0</v>
      </c>
      <c r="Q29" t="n">
        <f>IF(13&lt;=Paramètres!$B$9,MAX(0,IFERROR(N(IF(ISNUMBER(Charges!R29),MAX(0,Charges!R29),IFERROR(VLOOKUP(Charges!R29,Paramètres!$A$15:$B$18,2,FALSE),0))),0)),0)</f>
        <v>0</v>
      </c>
      <c r="R29" t="n">
        <f>SUM(E29:Q29)</f>
        <v>0</v>
      </c>
      <c r="S29" t="n">
        <f>IF(IFERROR(VLOOKUP(A29,'Projets'!$A$8:$Z$67,7,FALSE),"")="Engager",1,0)</f>
        <v>0</v>
      </c>
      <c r="T29" t="n">
        <f>IF(OR(Charges!F29="",AND(ISNUMBER(Charges!F29),Charges!F29&gt;=0),Charges!F29="S",Charges!F29="M",Charges!F29="L",Charges!F29="XL"),0,1)+IF(OR(Charges!G29="",AND(ISNUMBER(Charges!G29),Charges!G29&gt;=0),Charges!G29="S",Charges!G29="M",Charges!G29="L",Charges!G29="XL"),0,1)+IF(OR(Charges!H29="",AND(ISNUMBER(Charges!H29),Charges!H29&gt;=0),Charges!H29="S",Charges!H29="M",Charges!H29="L",Charges!H29="XL"),0,1)+IF(OR(Charges!I29="",AND(ISNUMBER(Charges!I29),Charges!I29&gt;=0),Charges!I29="S",Charges!I29="M",Charges!I29="L",Charges!I29="XL"),0,1)+IF(OR(Charges!J29="",AND(ISNUMBER(Charges!J29),Charges!J29&gt;=0),Charges!J29="S",Charges!J29="M",Charges!J29="L",Charges!J29="XL"),0,1)+IF(OR(Charges!K29="",AND(ISNUMBER(Charges!K29),Charges!K29&gt;=0),Charges!K29="S",Charges!K29="M",Charges!K29="L",Charges!K29="XL"),0,1)+IF(OR(Charges!L29="",AND(ISNUMBER(Charges!L29),Charges!L29&gt;=0),Charges!L29="S",Charges!L29="M",Charges!L29="L",Charges!L29="XL"),0,1)+IF(OR(Charges!M29="",AND(ISNUMBER(Charges!M29),Charges!M29&gt;=0),Charges!M29="S",Charges!M29="M",Charges!M29="L",Charges!M29="XL"),0,1)+IF(OR(Charges!N29="",AND(ISNUMBER(Charges!N29),Charges!N29&gt;=0),Charges!N29="S",Charges!N29="M",Charges!N29="L",Charges!N29="XL"),0,1)+IF(OR(Charges!O29="",AND(ISNUMBER(Charges!O29),Charges!O29&gt;=0),Charges!O29="S",Charges!O29="M",Charges!O29="L",Charges!O29="XL"),0,1)+IF(OR(Charges!P29="",AND(ISNUMBER(Charges!P29),Charges!P29&gt;=0),Charges!P29="S",Charges!P29="M",Charges!P29="L",Charges!P29="XL"),0,1)+IF(OR(Charges!Q29="",AND(ISNUMBER(Charges!Q29),Charges!Q29&gt;=0),Charges!Q29="S",Charges!Q29="M",Charges!Q29="L",Charges!Q29="XL"),0,1)+IF(OR(Charges!R29="",AND(ISNUMBER(Charges!R29),Charges!R29&gt;=0),Charges!R29="S",Charges!R29="M",Charges!R29="L",Charges!R29="XL"),0,1)</f>
        <v>0</v>
      </c>
      <c r="U29" t="n">
        <f>IF(AND(1&gt;Paramètres!$B$9,Charges!F29&lt;&gt;"",Charges!F29&lt;&gt;0),1,0)+IF(AND(2&gt;Paramètres!$B$9,Charges!G29&lt;&gt;"",Charges!G29&lt;&gt;0),1,0)+IF(AND(3&gt;Paramètres!$B$9,Charges!H29&lt;&gt;"",Charges!H29&lt;&gt;0),1,0)+IF(AND(4&gt;Paramètres!$B$9,Charges!I29&lt;&gt;"",Charges!I29&lt;&gt;0),1,0)+IF(AND(5&gt;Paramètres!$B$9,Charges!J29&lt;&gt;"",Charges!J29&lt;&gt;0),1,0)+IF(AND(6&gt;Paramètres!$B$9,Charges!K29&lt;&gt;"",Charges!K29&lt;&gt;0),1,0)+IF(AND(7&gt;Paramètres!$B$9,Charges!L29&lt;&gt;"",Charges!L29&lt;&gt;0),1,0)+IF(AND(8&gt;Paramètres!$B$9,Charges!M29&lt;&gt;"",Charges!M29&lt;&gt;0),1,0)+IF(AND(9&gt;Paramètres!$B$9,Charges!N29&lt;&gt;"",Charges!N29&lt;&gt;0),1,0)+IF(AND(10&gt;Paramètres!$B$9,Charges!O29&lt;&gt;"",Charges!O29&lt;&gt;0),1,0)+IF(AND(11&gt;Paramètres!$B$9,Charges!P29&lt;&gt;"",Charges!P29&lt;&gt;0),1,0)+IF(AND(12&gt;Paramètres!$B$9,Charges!Q29&lt;&gt;"",Charges!Q29&lt;&gt;0),1,0)+IF(AND(13&gt;Paramètres!$B$9,Charges!R29&lt;&gt;"",Charges!R29&lt;&gt;0),1,0)</f>
        <v>0</v>
      </c>
      <c r="V29" t="n">
        <f>IF(IFERROR(VLOOKUP(A29,'Projets'!$A$8:$Z$67,5,FALSE),"")="Engager",1,0)</f>
        <v>0</v>
      </c>
      <c r="W29" t="n">
        <f>IF(IFERROR(VLOOKUP(A29,'Projets'!$A$8:$Z$67,6,FALSE),"")="Engager",1,0)</f>
        <v>0</v>
      </c>
      <c r="X29" t="n">
        <f>E29*S29</f>
        <v>0</v>
      </c>
      <c r="Y29" t="n">
        <f>F29*S29</f>
        <v>0</v>
      </c>
      <c r="Z29" t="n">
        <f>G29*S29</f>
        <v>0</v>
      </c>
      <c r="AA29" t="n">
        <f>H29*S29</f>
        <v>0</v>
      </c>
      <c r="AB29" t="n">
        <f>I29*S29</f>
        <v>0</v>
      </c>
      <c r="AC29" t="n">
        <f>J29*S29</f>
        <v>0</v>
      </c>
      <c r="AD29" t="n">
        <f>K29*S29</f>
        <v>0</v>
      </c>
      <c r="AE29" t="n">
        <f>L29*S29</f>
        <v>0</v>
      </c>
      <c r="AF29" t="n">
        <f>M29*S29</f>
        <v>0</v>
      </c>
      <c r="AG29" t="n">
        <f>N29*S29</f>
        <v>0</v>
      </c>
      <c r="AH29" t="n">
        <f>O29*S29</f>
        <v>0</v>
      </c>
      <c r="AI29" t="n">
        <f>P29*S29</f>
        <v>0</v>
      </c>
      <c r="AJ29" t="n">
        <f>Q29*S29</f>
        <v>0</v>
      </c>
      <c r="AK29" t="n">
        <f>E29*V29</f>
        <v>0</v>
      </c>
      <c r="AL29" t="n">
        <f>F29*V29</f>
        <v>0</v>
      </c>
      <c r="AM29" t="n">
        <f>G29*V29</f>
        <v>0</v>
      </c>
      <c r="AN29" t="n">
        <f>H29*V29</f>
        <v>0</v>
      </c>
      <c r="AO29" t="n">
        <f>I29*V29</f>
        <v>0</v>
      </c>
      <c r="AP29" t="n">
        <f>J29*V29</f>
        <v>0</v>
      </c>
      <c r="AQ29" t="n">
        <f>K29*V29</f>
        <v>0</v>
      </c>
      <c r="AR29" t="n">
        <f>L29*V29</f>
        <v>0</v>
      </c>
      <c r="AS29" t="n">
        <f>M29*V29</f>
        <v>0</v>
      </c>
      <c r="AT29" t="n">
        <f>N29*V29</f>
        <v>0</v>
      </c>
      <c r="AU29" t="n">
        <f>O29*V29</f>
        <v>0</v>
      </c>
      <c r="AV29" t="n">
        <f>P29*V29</f>
        <v>0</v>
      </c>
      <c r="AW29" t="n">
        <f>Q29*V29</f>
        <v>0</v>
      </c>
      <c r="AX29" t="n">
        <f>E29*W29</f>
        <v>0</v>
      </c>
      <c r="AY29" t="n">
        <f>F29*W29</f>
        <v>0</v>
      </c>
      <c r="AZ29" t="n">
        <f>G29*W29</f>
        <v>0</v>
      </c>
      <c r="BA29" t="n">
        <f>H29*W29</f>
        <v>0</v>
      </c>
      <c r="BB29" t="n">
        <f>I29*W29</f>
        <v>0</v>
      </c>
      <c r="BC29" t="n">
        <f>J29*W29</f>
        <v>0</v>
      </c>
      <c r="BD29" t="n">
        <f>K29*W29</f>
        <v>0</v>
      </c>
      <c r="BE29" t="n">
        <f>L29*W29</f>
        <v>0</v>
      </c>
      <c r="BF29" t="n">
        <f>M29*W29</f>
        <v>0</v>
      </c>
      <c r="BG29" t="n">
        <f>N29*W29</f>
        <v>0</v>
      </c>
      <c r="BH29" t="n">
        <f>O29*W29</f>
        <v>0</v>
      </c>
      <c r="BI29" t="n">
        <f>P29*W29</f>
        <v>0</v>
      </c>
      <c r="BJ29" t="n">
        <f>Q29*W29</f>
        <v>0</v>
      </c>
      <c r="BM29" t="n">
        <f>IF(OR(Personnes!$A29="",1&gt;Paramètres!$B$9),0,MAX(0,SUMIF($B$8:$B$247,Personnes!$A29,$E$8:$E$247)-'Planning par personne'!C29))</f>
        <v>0</v>
      </c>
      <c r="BN29" t="n">
        <f>IF(OR(Personnes!$A29="",2&gt;Paramètres!$B$9),0,MAX(0,SUMIF($B$8:$B$247,Personnes!$A29,$F$8:$F$247)-'Planning par personne'!D29))</f>
        <v>0</v>
      </c>
      <c r="BO29" t="n">
        <f>IF(OR(Personnes!$A29="",3&gt;Paramètres!$B$9),0,MAX(0,SUMIF($B$8:$B$247,Personnes!$A29,$G$8:$G$247)-'Planning par personne'!E29))</f>
        <v>0</v>
      </c>
      <c r="BP29" t="n">
        <f>IF(OR(Personnes!$A29="",4&gt;Paramètres!$B$9),0,MAX(0,SUMIF($B$8:$B$247,Personnes!$A29,$H$8:$H$247)-'Planning par personne'!F29))</f>
        <v>0</v>
      </c>
      <c r="BQ29" t="n">
        <f>IF(OR(Personnes!$A29="",5&gt;Paramètres!$B$9),0,MAX(0,SUMIF($B$8:$B$247,Personnes!$A29,$I$8:$I$247)-'Planning par personne'!G29))</f>
        <v>0</v>
      </c>
      <c r="BR29" t="n">
        <f>IF(OR(Personnes!$A29="",6&gt;Paramètres!$B$9),0,MAX(0,SUMIF($B$8:$B$247,Personnes!$A29,$J$8:$J$247)-'Planning par personne'!H29))</f>
        <v>0</v>
      </c>
      <c r="BS29" t="n">
        <f>IF(OR(Personnes!$A29="",7&gt;Paramètres!$B$9),0,MAX(0,SUMIF($B$8:$B$247,Personnes!$A29,$K$8:$K$247)-'Planning par personne'!I29))</f>
        <v>0</v>
      </c>
      <c r="BT29" t="n">
        <f>IF(OR(Personnes!$A29="",8&gt;Paramètres!$B$9),0,MAX(0,SUMIF($B$8:$B$247,Personnes!$A29,$L$8:$L$247)-'Planning par personne'!J29))</f>
        <v>0</v>
      </c>
      <c r="BU29" t="n">
        <f>IF(OR(Personnes!$A29="",9&gt;Paramètres!$B$9),0,MAX(0,SUMIF($B$8:$B$247,Personnes!$A29,$M$8:$M$247)-'Planning par personne'!K29))</f>
        <v>0</v>
      </c>
      <c r="BV29" t="n">
        <f>IF(OR(Personnes!$A29="",10&gt;Paramètres!$B$9),0,MAX(0,SUMIF($B$8:$B$247,Personnes!$A29,$N$8:$N$247)-'Planning par personne'!L29))</f>
        <v>0</v>
      </c>
      <c r="BW29" t="n">
        <f>IF(OR(Personnes!$A29="",11&gt;Paramètres!$B$9),0,MAX(0,SUMIF($B$8:$B$247,Personnes!$A29,$O$8:$O$247)-'Planning par personne'!M29))</f>
        <v>0</v>
      </c>
      <c r="BX29" t="n">
        <f>IF(OR(Personnes!$A29="",12&gt;Paramètres!$B$9),0,MAX(0,SUMIF($B$8:$B$247,Personnes!$A29,$P$8:$P$247)-'Planning par personne'!N29))</f>
        <v>0</v>
      </c>
      <c r="BY29" t="n">
        <f>IF(OR(Personnes!$A29="",13&gt;Paramètres!$B$9),0,MAX(0,SUMIF($B$8:$B$247,Personnes!$A29,$Q$8:$Q$247)-'Planning par personne'!O29))</f>
        <v>0</v>
      </c>
      <c r="BZ29" t="n">
        <f>IF(OR(Personnes!$A29="",1&gt;Paramètres!$B$9),0,MAX(0,SUMIF($B$8:$B$247,Personnes!$A29,$AK$8:$AK$247)-'Planning par personne'!C29))</f>
        <v>0</v>
      </c>
      <c r="CA29" t="n">
        <f>IF(OR(Personnes!$A29="",2&gt;Paramètres!$B$9),0,MAX(0,SUMIF($B$8:$B$247,Personnes!$A29,$AL$8:$AL$247)-'Planning par personne'!D29))</f>
        <v>0</v>
      </c>
      <c r="CB29" t="n">
        <f>IF(OR(Personnes!$A29="",3&gt;Paramètres!$B$9),0,MAX(0,SUMIF($B$8:$B$247,Personnes!$A29,$AM$8:$AM$247)-'Planning par personne'!E29))</f>
        <v>0</v>
      </c>
      <c r="CC29" t="n">
        <f>IF(OR(Personnes!$A29="",4&gt;Paramètres!$B$9),0,MAX(0,SUMIF($B$8:$B$247,Personnes!$A29,$AN$8:$AN$247)-'Planning par personne'!F29))</f>
        <v>0</v>
      </c>
      <c r="CD29" t="n">
        <f>IF(OR(Personnes!$A29="",5&gt;Paramètres!$B$9),0,MAX(0,SUMIF($B$8:$B$247,Personnes!$A29,$AO$8:$AO$247)-'Planning par personne'!G29))</f>
        <v>0</v>
      </c>
      <c r="CE29" t="n">
        <f>IF(OR(Personnes!$A29="",6&gt;Paramètres!$B$9),0,MAX(0,SUMIF($B$8:$B$247,Personnes!$A29,$AP$8:$AP$247)-'Planning par personne'!H29))</f>
        <v>0</v>
      </c>
      <c r="CF29" t="n">
        <f>IF(OR(Personnes!$A29="",7&gt;Paramètres!$B$9),0,MAX(0,SUMIF($B$8:$B$247,Personnes!$A29,$AQ$8:$AQ$247)-'Planning par personne'!I29))</f>
        <v>0</v>
      </c>
      <c r="CG29" t="n">
        <f>IF(OR(Personnes!$A29="",8&gt;Paramètres!$B$9),0,MAX(0,SUMIF($B$8:$B$247,Personnes!$A29,$AR$8:$AR$247)-'Planning par personne'!J29))</f>
        <v>0</v>
      </c>
      <c r="CH29" t="n">
        <f>IF(OR(Personnes!$A29="",9&gt;Paramètres!$B$9),0,MAX(0,SUMIF($B$8:$B$247,Personnes!$A29,$AS$8:$AS$247)-'Planning par personne'!K29))</f>
        <v>0</v>
      </c>
      <c r="CI29" t="n">
        <f>IF(OR(Personnes!$A29="",10&gt;Paramètres!$B$9),0,MAX(0,SUMIF($B$8:$B$247,Personnes!$A29,$AT$8:$AT$247)-'Planning par personne'!L29))</f>
        <v>0</v>
      </c>
      <c r="CJ29" t="n">
        <f>IF(OR(Personnes!$A29="",11&gt;Paramètres!$B$9),0,MAX(0,SUMIF($B$8:$B$247,Personnes!$A29,$AU$8:$AU$247)-'Planning par personne'!M29))</f>
        <v>0</v>
      </c>
      <c r="CK29" t="n">
        <f>IF(OR(Personnes!$A29="",12&gt;Paramètres!$B$9),0,MAX(0,SUMIF($B$8:$B$247,Personnes!$A29,$AV$8:$AV$247)-'Planning par personne'!N29))</f>
        <v>0</v>
      </c>
      <c r="CL29" t="n">
        <f>IF(OR(Personnes!$A29="",13&gt;Paramètres!$B$9),0,MAX(0,SUMIF($B$8:$B$247,Personnes!$A29,$AW$8:$AW$247)-'Planning par personne'!O29))</f>
        <v>0</v>
      </c>
      <c r="CM29" t="n">
        <f>IF(OR(Personnes!$A29="",1&gt;Paramètres!$B$9),0,MAX(0,SUMIF($B$8:$B$247,Personnes!$A29,$AX$8:$AX$247)-'Planning par personne'!C29))</f>
        <v>0</v>
      </c>
      <c r="CN29" t="n">
        <f>IF(OR(Personnes!$A29="",2&gt;Paramètres!$B$9),0,MAX(0,SUMIF($B$8:$B$247,Personnes!$A29,$AY$8:$AY$247)-'Planning par personne'!D29))</f>
        <v>0</v>
      </c>
      <c r="CO29" t="n">
        <f>IF(OR(Personnes!$A29="",3&gt;Paramètres!$B$9),0,MAX(0,SUMIF($B$8:$B$247,Personnes!$A29,$AZ$8:$AZ$247)-'Planning par personne'!E29))</f>
        <v>0</v>
      </c>
      <c r="CP29" t="n">
        <f>IF(OR(Personnes!$A29="",4&gt;Paramètres!$B$9),0,MAX(0,SUMIF($B$8:$B$247,Personnes!$A29,$BA$8:$BA$247)-'Planning par personne'!F29))</f>
        <v>0</v>
      </c>
      <c r="CQ29" t="n">
        <f>IF(OR(Personnes!$A29="",5&gt;Paramètres!$B$9),0,MAX(0,SUMIF($B$8:$B$247,Personnes!$A29,$BB$8:$BB$247)-'Planning par personne'!G29))</f>
        <v>0</v>
      </c>
      <c r="CR29" t="n">
        <f>IF(OR(Personnes!$A29="",6&gt;Paramètres!$B$9),0,MAX(0,SUMIF($B$8:$B$247,Personnes!$A29,$BC$8:$BC$247)-'Planning par personne'!H29))</f>
        <v>0</v>
      </c>
      <c r="CS29" t="n">
        <f>IF(OR(Personnes!$A29="",7&gt;Paramètres!$B$9),0,MAX(0,SUMIF($B$8:$B$247,Personnes!$A29,$BD$8:$BD$247)-'Planning par personne'!I29))</f>
        <v>0</v>
      </c>
      <c r="CT29" t="n">
        <f>IF(OR(Personnes!$A29="",8&gt;Paramètres!$B$9),0,MAX(0,SUMIF($B$8:$B$247,Personnes!$A29,$BE$8:$BE$247)-'Planning par personne'!J29))</f>
        <v>0</v>
      </c>
      <c r="CU29" t="n">
        <f>IF(OR(Personnes!$A29="",9&gt;Paramètres!$B$9),0,MAX(0,SUMIF($B$8:$B$247,Personnes!$A29,$BF$8:$BF$247)-'Planning par personne'!K29))</f>
        <v>0</v>
      </c>
      <c r="CV29" t="n">
        <f>IF(OR(Personnes!$A29="",10&gt;Paramètres!$B$9),0,MAX(0,SUMIF($B$8:$B$247,Personnes!$A29,$BG$8:$BG$247)-'Planning par personne'!L29))</f>
        <v>0</v>
      </c>
      <c r="CW29" t="n">
        <f>IF(OR(Personnes!$A29="",11&gt;Paramètres!$B$9),0,MAX(0,SUMIF($B$8:$B$247,Personnes!$A29,$BH$8:$BH$247)-'Planning par personne'!M29))</f>
        <v>0</v>
      </c>
      <c r="CX29" t="n">
        <f>IF(OR(Personnes!$A29="",12&gt;Paramètres!$B$9),0,MAX(0,SUMIF($B$8:$B$247,Personnes!$A29,$BI$8:$BI$247)-'Planning par personne'!N29))</f>
        <v>0</v>
      </c>
      <c r="CY29" t="n">
        <f>IF(OR(Personnes!$A29="",13&gt;Paramètres!$B$9),0,MAX(0,SUMIF($B$8:$B$247,Personnes!$A29,$BJ$8:$BJ$247)-'Planning par personne'!O29))</f>
        <v>0</v>
      </c>
      <c r="DJ29" t="n">
        <f>SUM(BM29:BY29)</f>
        <v>0</v>
      </c>
      <c r="DK29" t="n">
        <f>SUM(BZ29:CL29)</f>
        <v>0</v>
      </c>
      <c r="DL29" t="n">
        <f>SUM(CM29:CY29)</f>
        <v>0</v>
      </c>
      <c r="DM29" t="str">
        <f>IF(AND(Projets!A29&lt;&gt;"",Projets!G29="Engager"),DM28&amp;IF(DM28="","",", ")&amp;Projets!B29,DM28)</f>
        <v/>
      </c>
      <c r="DN29" t="str">
        <f>IF(AND(Projets!A29&lt;&gt;"",Projets!G29="Reporter"),DN28&amp;IF(DN28="","",", ")&amp;Projets!B29,DN28)</f>
        <v/>
      </c>
    </row>
    <row r="30">
      <c r="A30" t="n">
        <f>Charges!A30</f>
        <v>0</v>
      </c>
      <c r="B30" t="n">
        <f>Charges!C30</f>
        <v>0</v>
      </c>
      <c r="C30" t="str">
        <f>Charges!D30</f>
        <v/>
      </c>
      <c r="E30" t="n">
        <f>IF(1&lt;=Paramètres!$B$9,MAX(0,IFERROR(N(IF(ISNUMBER(Charges!F30),MAX(0,Charges!F30),IFERROR(VLOOKUP(Charges!F30,Paramètres!$A$15:$B$18,2,FALSE),0))),0)),0)</f>
        <v>0</v>
      </c>
      <c r="F30" t="n">
        <f>IF(2&lt;=Paramètres!$B$9,MAX(0,IFERROR(N(IF(ISNUMBER(Charges!G30),MAX(0,Charges!G30),IFERROR(VLOOKUP(Charges!G30,Paramètres!$A$15:$B$18,2,FALSE),0))),0)),0)</f>
        <v>0</v>
      </c>
      <c r="G30" t="n">
        <f>IF(3&lt;=Paramètres!$B$9,MAX(0,IFERROR(N(IF(ISNUMBER(Charges!H30),MAX(0,Charges!H30),IFERROR(VLOOKUP(Charges!H30,Paramètres!$A$15:$B$18,2,FALSE),0))),0)),0)</f>
        <v>0</v>
      </c>
      <c r="H30" t="n">
        <f>IF(4&lt;=Paramètres!$B$9,MAX(0,IFERROR(N(IF(ISNUMBER(Charges!I30),MAX(0,Charges!I30),IFERROR(VLOOKUP(Charges!I30,Paramètres!$A$15:$B$18,2,FALSE),0))),0)),0)</f>
        <v>0</v>
      </c>
      <c r="I30" t="n">
        <f>IF(5&lt;=Paramètres!$B$9,MAX(0,IFERROR(N(IF(ISNUMBER(Charges!J30),MAX(0,Charges!J30),IFERROR(VLOOKUP(Charges!J30,Paramètres!$A$15:$B$18,2,FALSE),0))),0)),0)</f>
        <v>0</v>
      </c>
      <c r="J30" t="n">
        <f>IF(6&lt;=Paramètres!$B$9,MAX(0,IFERROR(N(IF(ISNUMBER(Charges!K30),MAX(0,Charges!K30),IFERROR(VLOOKUP(Charges!K30,Paramètres!$A$15:$B$18,2,FALSE),0))),0)),0)</f>
        <v>0</v>
      </c>
      <c r="K30" t="n">
        <f>IF(7&lt;=Paramètres!$B$9,MAX(0,IFERROR(N(IF(ISNUMBER(Charges!L30),MAX(0,Charges!L30),IFERROR(VLOOKUP(Charges!L30,Paramètres!$A$15:$B$18,2,FALSE),0))),0)),0)</f>
        <v>0</v>
      </c>
      <c r="L30" t="n">
        <f>IF(8&lt;=Paramètres!$B$9,MAX(0,IFERROR(N(IF(ISNUMBER(Charges!M30),MAX(0,Charges!M30),IFERROR(VLOOKUP(Charges!M30,Paramètres!$A$15:$B$18,2,FALSE),0))),0)),0)</f>
        <v>0</v>
      </c>
      <c r="M30" t="n">
        <f>IF(9&lt;=Paramètres!$B$9,MAX(0,IFERROR(N(IF(ISNUMBER(Charges!N30),MAX(0,Charges!N30),IFERROR(VLOOKUP(Charges!N30,Paramètres!$A$15:$B$18,2,FALSE),0))),0)),0)</f>
        <v>0</v>
      </c>
      <c r="N30" t="n">
        <f>IF(10&lt;=Paramètres!$B$9,MAX(0,IFERROR(N(IF(ISNUMBER(Charges!O30),MAX(0,Charges!O30),IFERROR(VLOOKUP(Charges!O30,Paramètres!$A$15:$B$18,2,FALSE),0))),0)),0)</f>
        <v>0</v>
      </c>
      <c r="O30" t="n">
        <f>IF(11&lt;=Paramètres!$B$9,MAX(0,IFERROR(N(IF(ISNUMBER(Charges!P30),MAX(0,Charges!P30),IFERROR(VLOOKUP(Charges!P30,Paramètres!$A$15:$B$18,2,FALSE),0))),0)),0)</f>
        <v>0</v>
      </c>
      <c r="P30" t="n">
        <f>IF(12&lt;=Paramètres!$B$9,MAX(0,IFERROR(N(IF(ISNUMBER(Charges!Q30),MAX(0,Charges!Q30),IFERROR(VLOOKUP(Charges!Q30,Paramètres!$A$15:$B$18,2,FALSE),0))),0)),0)</f>
        <v>0</v>
      </c>
      <c r="Q30" t="n">
        <f>IF(13&lt;=Paramètres!$B$9,MAX(0,IFERROR(N(IF(ISNUMBER(Charges!R30),MAX(0,Charges!R30),IFERROR(VLOOKUP(Charges!R30,Paramètres!$A$15:$B$18,2,FALSE),0))),0)),0)</f>
        <v>0</v>
      </c>
      <c r="R30" t="n">
        <f>SUM(E30:Q30)</f>
        <v>0</v>
      </c>
      <c r="S30" t="n">
        <f>IF(IFERROR(VLOOKUP(A30,'Projets'!$A$8:$Z$67,7,FALSE),"")="Engager",1,0)</f>
        <v>0</v>
      </c>
      <c r="T30" t="n">
        <f>IF(OR(Charges!F30="",AND(ISNUMBER(Charges!F30),Charges!F30&gt;=0),Charges!F30="S",Charges!F30="M",Charges!F30="L",Charges!F30="XL"),0,1)+IF(OR(Charges!G30="",AND(ISNUMBER(Charges!G30),Charges!G30&gt;=0),Charges!G30="S",Charges!G30="M",Charges!G30="L",Charges!G30="XL"),0,1)+IF(OR(Charges!H30="",AND(ISNUMBER(Charges!H30),Charges!H30&gt;=0),Charges!H30="S",Charges!H30="M",Charges!H30="L",Charges!H30="XL"),0,1)+IF(OR(Charges!I30="",AND(ISNUMBER(Charges!I30),Charges!I30&gt;=0),Charges!I30="S",Charges!I30="M",Charges!I30="L",Charges!I30="XL"),0,1)+IF(OR(Charges!J30="",AND(ISNUMBER(Charges!J30),Charges!J30&gt;=0),Charges!J30="S",Charges!J30="M",Charges!J30="L",Charges!J30="XL"),0,1)+IF(OR(Charges!K30="",AND(ISNUMBER(Charges!K30),Charges!K30&gt;=0),Charges!K30="S",Charges!K30="M",Charges!K30="L",Charges!K30="XL"),0,1)+IF(OR(Charges!L30="",AND(ISNUMBER(Charges!L30),Charges!L30&gt;=0),Charges!L30="S",Charges!L30="M",Charges!L30="L",Charges!L30="XL"),0,1)+IF(OR(Charges!M30="",AND(ISNUMBER(Charges!M30),Charges!M30&gt;=0),Charges!M30="S",Charges!M30="M",Charges!M30="L",Charges!M30="XL"),0,1)+IF(OR(Charges!N30="",AND(ISNUMBER(Charges!N30),Charges!N30&gt;=0),Charges!N30="S",Charges!N30="M",Charges!N30="L",Charges!N30="XL"),0,1)+IF(OR(Charges!O30="",AND(ISNUMBER(Charges!O30),Charges!O30&gt;=0),Charges!O30="S",Charges!O30="M",Charges!O30="L",Charges!O30="XL"),0,1)+IF(OR(Charges!P30="",AND(ISNUMBER(Charges!P30),Charges!P30&gt;=0),Charges!P30="S",Charges!P30="M",Charges!P30="L",Charges!P30="XL"),0,1)+IF(OR(Charges!Q30="",AND(ISNUMBER(Charges!Q30),Charges!Q30&gt;=0),Charges!Q30="S",Charges!Q30="M",Charges!Q30="L",Charges!Q30="XL"),0,1)+IF(OR(Charges!R30="",AND(ISNUMBER(Charges!R30),Charges!R30&gt;=0),Charges!R30="S",Charges!R30="M",Charges!R30="L",Charges!R30="XL"),0,1)</f>
        <v>0</v>
      </c>
      <c r="U30" t="n">
        <f>IF(AND(1&gt;Paramètres!$B$9,Charges!F30&lt;&gt;"",Charges!F30&lt;&gt;0),1,0)+IF(AND(2&gt;Paramètres!$B$9,Charges!G30&lt;&gt;"",Charges!G30&lt;&gt;0),1,0)+IF(AND(3&gt;Paramètres!$B$9,Charges!H30&lt;&gt;"",Charges!H30&lt;&gt;0),1,0)+IF(AND(4&gt;Paramètres!$B$9,Charges!I30&lt;&gt;"",Charges!I30&lt;&gt;0),1,0)+IF(AND(5&gt;Paramètres!$B$9,Charges!J30&lt;&gt;"",Charges!J30&lt;&gt;0),1,0)+IF(AND(6&gt;Paramètres!$B$9,Charges!K30&lt;&gt;"",Charges!K30&lt;&gt;0),1,0)+IF(AND(7&gt;Paramètres!$B$9,Charges!L30&lt;&gt;"",Charges!L30&lt;&gt;0),1,0)+IF(AND(8&gt;Paramètres!$B$9,Charges!M30&lt;&gt;"",Charges!M30&lt;&gt;0),1,0)+IF(AND(9&gt;Paramètres!$B$9,Charges!N30&lt;&gt;"",Charges!N30&lt;&gt;0),1,0)+IF(AND(10&gt;Paramètres!$B$9,Charges!O30&lt;&gt;"",Charges!O30&lt;&gt;0),1,0)+IF(AND(11&gt;Paramètres!$B$9,Charges!P30&lt;&gt;"",Charges!P30&lt;&gt;0),1,0)+IF(AND(12&gt;Paramètres!$B$9,Charges!Q30&lt;&gt;"",Charges!Q30&lt;&gt;0),1,0)+IF(AND(13&gt;Paramètres!$B$9,Charges!R30&lt;&gt;"",Charges!R30&lt;&gt;0),1,0)</f>
        <v>0</v>
      </c>
      <c r="V30" t="n">
        <f>IF(IFERROR(VLOOKUP(A30,'Projets'!$A$8:$Z$67,5,FALSE),"")="Engager",1,0)</f>
        <v>0</v>
      </c>
      <c r="W30" t="n">
        <f>IF(IFERROR(VLOOKUP(A30,'Projets'!$A$8:$Z$67,6,FALSE),"")="Engager",1,0)</f>
        <v>0</v>
      </c>
      <c r="X30" t="n">
        <f>E30*S30</f>
        <v>0</v>
      </c>
      <c r="Y30" t="n">
        <f>F30*S30</f>
        <v>0</v>
      </c>
      <c r="Z30" t="n">
        <f>G30*S30</f>
        <v>0</v>
      </c>
      <c r="AA30" t="n">
        <f>H30*S30</f>
        <v>0</v>
      </c>
      <c r="AB30" t="n">
        <f>I30*S30</f>
        <v>0</v>
      </c>
      <c r="AC30" t="n">
        <f>J30*S30</f>
        <v>0</v>
      </c>
      <c r="AD30" t="n">
        <f>K30*S30</f>
        <v>0</v>
      </c>
      <c r="AE30" t="n">
        <f>L30*S30</f>
        <v>0</v>
      </c>
      <c r="AF30" t="n">
        <f>M30*S30</f>
        <v>0</v>
      </c>
      <c r="AG30" t="n">
        <f>N30*S30</f>
        <v>0</v>
      </c>
      <c r="AH30" t="n">
        <f>O30*S30</f>
        <v>0</v>
      </c>
      <c r="AI30" t="n">
        <f>P30*S30</f>
        <v>0</v>
      </c>
      <c r="AJ30" t="n">
        <f>Q30*S30</f>
        <v>0</v>
      </c>
      <c r="AK30" t="n">
        <f>E30*V30</f>
        <v>0</v>
      </c>
      <c r="AL30" t="n">
        <f>F30*V30</f>
        <v>0</v>
      </c>
      <c r="AM30" t="n">
        <f>G30*V30</f>
        <v>0</v>
      </c>
      <c r="AN30" t="n">
        <f>H30*V30</f>
        <v>0</v>
      </c>
      <c r="AO30" t="n">
        <f>I30*V30</f>
        <v>0</v>
      </c>
      <c r="AP30" t="n">
        <f>J30*V30</f>
        <v>0</v>
      </c>
      <c r="AQ30" t="n">
        <f>K30*V30</f>
        <v>0</v>
      </c>
      <c r="AR30" t="n">
        <f>L30*V30</f>
        <v>0</v>
      </c>
      <c r="AS30" t="n">
        <f>M30*V30</f>
        <v>0</v>
      </c>
      <c r="AT30" t="n">
        <f>N30*V30</f>
        <v>0</v>
      </c>
      <c r="AU30" t="n">
        <f>O30*V30</f>
        <v>0</v>
      </c>
      <c r="AV30" t="n">
        <f>P30*V30</f>
        <v>0</v>
      </c>
      <c r="AW30" t="n">
        <f>Q30*V30</f>
        <v>0</v>
      </c>
      <c r="AX30" t="n">
        <f>E30*W30</f>
        <v>0</v>
      </c>
      <c r="AY30" t="n">
        <f>F30*W30</f>
        <v>0</v>
      </c>
      <c r="AZ30" t="n">
        <f>G30*W30</f>
        <v>0</v>
      </c>
      <c r="BA30" t="n">
        <f>H30*W30</f>
        <v>0</v>
      </c>
      <c r="BB30" t="n">
        <f>I30*W30</f>
        <v>0</v>
      </c>
      <c r="BC30" t="n">
        <f>J30*W30</f>
        <v>0</v>
      </c>
      <c r="BD30" t="n">
        <f>K30*W30</f>
        <v>0</v>
      </c>
      <c r="BE30" t="n">
        <f>L30*W30</f>
        <v>0</v>
      </c>
      <c r="BF30" t="n">
        <f>M30*W30</f>
        <v>0</v>
      </c>
      <c r="BG30" t="n">
        <f>N30*W30</f>
        <v>0</v>
      </c>
      <c r="BH30" t="n">
        <f>O30*W30</f>
        <v>0</v>
      </c>
      <c r="BI30" t="n">
        <f>P30*W30</f>
        <v>0</v>
      </c>
      <c r="BJ30" t="n">
        <f>Q30*W30</f>
        <v>0</v>
      </c>
      <c r="BM30" t="n">
        <f>IF(OR(Personnes!$A30="",1&gt;Paramètres!$B$9),0,MAX(0,SUMIF($B$8:$B$247,Personnes!$A30,$E$8:$E$247)-'Planning par personne'!C30))</f>
        <v>0</v>
      </c>
      <c r="BN30" t="n">
        <f>IF(OR(Personnes!$A30="",2&gt;Paramètres!$B$9),0,MAX(0,SUMIF($B$8:$B$247,Personnes!$A30,$F$8:$F$247)-'Planning par personne'!D30))</f>
        <v>0</v>
      </c>
      <c r="BO30" t="n">
        <f>IF(OR(Personnes!$A30="",3&gt;Paramètres!$B$9),0,MAX(0,SUMIF($B$8:$B$247,Personnes!$A30,$G$8:$G$247)-'Planning par personne'!E30))</f>
        <v>0</v>
      </c>
      <c r="BP30" t="n">
        <f>IF(OR(Personnes!$A30="",4&gt;Paramètres!$B$9),0,MAX(0,SUMIF($B$8:$B$247,Personnes!$A30,$H$8:$H$247)-'Planning par personne'!F30))</f>
        <v>0</v>
      </c>
      <c r="BQ30" t="n">
        <f>IF(OR(Personnes!$A30="",5&gt;Paramètres!$B$9),0,MAX(0,SUMIF($B$8:$B$247,Personnes!$A30,$I$8:$I$247)-'Planning par personne'!G30))</f>
        <v>0</v>
      </c>
      <c r="BR30" t="n">
        <f>IF(OR(Personnes!$A30="",6&gt;Paramètres!$B$9),0,MAX(0,SUMIF($B$8:$B$247,Personnes!$A30,$J$8:$J$247)-'Planning par personne'!H30))</f>
        <v>0</v>
      </c>
      <c r="BS30" t="n">
        <f>IF(OR(Personnes!$A30="",7&gt;Paramètres!$B$9),0,MAX(0,SUMIF($B$8:$B$247,Personnes!$A30,$K$8:$K$247)-'Planning par personne'!I30))</f>
        <v>0</v>
      </c>
      <c r="BT30" t="n">
        <f>IF(OR(Personnes!$A30="",8&gt;Paramètres!$B$9),0,MAX(0,SUMIF($B$8:$B$247,Personnes!$A30,$L$8:$L$247)-'Planning par personne'!J30))</f>
        <v>0</v>
      </c>
      <c r="BU30" t="n">
        <f>IF(OR(Personnes!$A30="",9&gt;Paramètres!$B$9),0,MAX(0,SUMIF($B$8:$B$247,Personnes!$A30,$M$8:$M$247)-'Planning par personne'!K30))</f>
        <v>0</v>
      </c>
      <c r="BV30" t="n">
        <f>IF(OR(Personnes!$A30="",10&gt;Paramètres!$B$9),0,MAX(0,SUMIF($B$8:$B$247,Personnes!$A30,$N$8:$N$247)-'Planning par personne'!L30))</f>
        <v>0</v>
      </c>
      <c r="BW30" t="n">
        <f>IF(OR(Personnes!$A30="",11&gt;Paramètres!$B$9),0,MAX(0,SUMIF($B$8:$B$247,Personnes!$A30,$O$8:$O$247)-'Planning par personne'!M30))</f>
        <v>0</v>
      </c>
      <c r="BX30" t="n">
        <f>IF(OR(Personnes!$A30="",12&gt;Paramètres!$B$9),0,MAX(0,SUMIF($B$8:$B$247,Personnes!$A30,$P$8:$P$247)-'Planning par personne'!N30))</f>
        <v>0</v>
      </c>
      <c r="BY30" t="n">
        <f>IF(OR(Personnes!$A30="",13&gt;Paramètres!$B$9),0,MAX(0,SUMIF($B$8:$B$247,Personnes!$A30,$Q$8:$Q$247)-'Planning par personne'!O30))</f>
        <v>0</v>
      </c>
      <c r="BZ30" t="n">
        <f>IF(OR(Personnes!$A30="",1&gt;Paramètres!$B$9),0,MAX(0,SUMIF($B$8:$B$247,Personnes!$A30,$AK$8:$AK$247)-'Planning par personne'!C30))</f>
        <v>0</v>
      </c>
      <c r="CA30" t="n">
        <f>IF(OR(Personnes!$A30="",2&gt;Paramètres!$B$9),0,MAX(0,SUMIF($B$8:$B$247,Personnes!$A30,$AL$8:$AL$247)-'Planning par personne'!D30))</f>
        <v>0</v>
      </c>
      <c r="CB30" t="n">
        <f>IF(OR(Personnes!$A30="",3&gt;Paramètres!$B$9),0,MAX(0,SUMIF($B$8:$B$247,Personnes!$A30,$AM$8:$AM$247)-'Planning par personne'!E30))</f>
        <v>0</v>
      </c>
      <c r="CC30" t="n">
        <f>IF(OR(Personnes!$A30="",4&gt;Paramètres!$B$9),0,MAX(0,SUMIF($B$8:$B$247,Personnes!$A30,$AN$8:$AN$247)-'Planning par personne'!F30))</f>
        <v>0</v>
      </c>
      <c r="CD30" t="n">
        <f>IF(OR(Personnes!$A30="",5&gt;Paramètres!$B$9),0,MAX(0,SUMIF($B$8:$B$247,Personnes!$A30,$AO$8:$AO$247)-'Planning par personne'!G30))</f>
        <v>0</v>
      </c>
      <c r="CE30" t="n">
        <f>IF(OR(Personnes!$A30="",6&gt;Paramètres!$B$9),0,MAX(0,SUMIF($B$8:$B$247,Personnes!$A30,$AP$8:$AP$247)-'Planning par personne'!H30))</f>
        <v>0</v>
      </c>
      <c r="CF30" t="n">
        <f>IF(OR(Personnes!$A30="",7&gt;Paramètres!$B$9),0,MAX(0,SUMIF($B$8:$B$247,Personnes!$A30,$AQ$8:$AQ$247)-'Planning par personne'!I30))</f>
        <v>0</v>
      </c>
      <c r="CG30" t="n">
        <f>IF(OR(Personnes!$A30="",8&gt;Paramètres!$B$9),0,MAX(0,SUMIF($B$8:$B$247,Personnes!$A30,$AR$8:$AR$247)-'Planning par personne'!J30))</f>
        <v>0</v>
      </c>
      <c r="CH30" t="n">
        <f>IF(OR(Personnes!$A30="",9&gt;Paramètres!$B$9),0,MAX(0,SUMIF($B$8:$B$247,Personnes!$A30,$AS$8:$AS$247)-'Planning par personne'!K30))</f>
        <v>0</v>
      </c>
      <c r="CI30" t="n">
        <f>IF(OR(Personnes!$A30="",10&gt;Paramètres!$B$9),0,MAX(0,SUMIF($B$8:$B$247,Personnes!$A30,$AT$8:$AT$247)-'Planning par personne'!L30))</f>
        <v>0</v>
      </c>
      <c r="CJ30" t="n">
        <f>IF(OR(Personnes!$A30="",11&gt;Paramètres!$B$9),0,MAX(0,SUMIF($B$8:$B$247,Personnes!$A30,$AU$8:$AU$247)-'Planning par personne'!M30))</f>
        <v>0</v>
      </c>
      <c r="CK30" t="n">
        <f>IF(OR(Personnes!$A30="",12&gt;Paramètres!$B$9),0,MAX(0,SUMIF($B$8:$B$247,Personnes!$A30,$AV$8:$AV$247)-'Planning par personne'!N30))</f>
        <v>0</v>
      </c>
      <c r="CL30" t="n">
        <f>IF(OR(Personnes!$A30="",13&gt;Paramètres!$B$9),0,MAX(0,SUMIF($B$8:$B$247,Personnes!$A30,$AW$8:$AW$247)-'Planning par personne'!O30))</f>
        <v>0</v>
      </c>
      <c r="CM30" t="n">
        <f>IF(OR(Personnes!$A30="",1&gt;Paramètres!$B$9),0,MAX(0,SUMIF($B$8:$B$247,Personnes!$A30,$AX$8:$AX$247)-'Planning par personne'!C30))</f>
        <v>0</v>
      </c>
      <c r="CN30" t="n">
        <f>IF(OR(Personnes!$A30="",2&gt;Paramètres!$B$9),0,MAX(0,SUMIF($B$8:$B$247,Personnes!$A30,$AY$8:$AY$247)-'Planning par personne'!D30))</f>
        <v>0</v>
      </c>
      <c r="CO30" t="n">
        <f>IF(OR(Personnes!$A30="",3&gt;Paramètres!$B$9),0,MAX(0,SUMIF($B$8:$B$247,Personnes!$A30,$AZ$8:$AZ$247)-'Planning par personne'!E30))</f>
        <v>0</v>
      </c>
      <c r="CP30" t="n">
        <f>IF(OR(Personnes!$A30="",4&gt;Paramètres!$B$9),0,MAX(0,SUMIF($B$8:$B$247,Personnes!$A30,$BA$8:$BA$247)-'Planning par personne'!F30))</f>
        <v>0</v>
      </c>
      <c r="CQ30" t="n">
        <f>IF(OR(Personnes!$A30="",5&gt;Paramètres!$B$9),0,MAX(0,SUMIF($B$8:$B$247,Personnes!$A30,$BB$8:$BB$247)-'Planning par personne'!G30))</f>
        <v>0</v>
      </c>
      <c r="CR30" t="n">
        <f>IF(OR(Personnes!$A30="",6&gt;Paramètres!$B$9),0,MAX(0,SUMIF($B$8:$B$247,Personnes!$A30,$BC$8:$BC$247)-'Planning par personne'!H30))</f>
        <v>0</v>
      </c>
      <c r="CS30" t="n">
        <f>IF(OR(Personnes!$A30="",7&gt;Paramètres!$B$9),0,MAX(0,SUMIF($B$8:$B$247,Personnes!$A30,$BD$8:$BD$247)-'Planning par personne'!I30))</f>
        <v>0</v>
      </c>
      <c r="CT30" t="n">
        <f>IF(OR(Personnes!$A30="",8&gt;Paramètres!$B$9),0,MAX(0,SUMIF($B$8:$B$247,Personnes!$A30,$BE$8:$BE$247)-'Planning par personne'!J30))</f>
        <v>0</v>
      </c>
      <c r="CU30" t="n">
        <f>IF(OR(Personnes!$A30="",9&gt;Paramètres!$B$9),0,MAX(0,SUMIF($B$8:$B$247,Personnes!$A30,$BF$8:$BF$247)-'Planning par personne'!K30))</f>
        <v>0</v>
      </c>
      <c r="CV30" t="n">
        <f>IF(OR(Personnes!$A30="",10&gt;Paramètres!$B$9),0,MAX(0,SUMIF($B$8:$B$247,Personnes!$A30,$BG$8:$BG$247)-'Planning par personne'!L30))</f>
        <v>0</v>
      </c>
      <c r="CW30" t="n">
        <f>IF(OR(Personnes!$A30="",11&gt;Paramètres!$B$9),0,MAX(0,SUMIF($B$8:$B$247,Personnes!$A30,$BH$8:$BH$247)-'Planning par personne'!M30))</f>
        <v>0</v>
      </c>
      <c r="CX30" t="n">
        <f>IF(OR(Personnes!$A30="",12&gt;Paramètres!$B$9),0,MAX(0,SUMIF($B$8:$B$247,Personnes!$A30,$BI$8:$BI$247)-'Planning par personne'!N30))</f>
        <v>0</v>
      </c>
      <c r="CY30" t="n">
        <f>IF(OR(Personnes!$A30="",13&gt;Paramètres!$B$9),0,MAX(0,SUMIF($B$8:$B$247,Personnes!$A30,$BJ$8:$BJ$247)-'Planning par personne'!O30))</f>
        <v>0</v>
      </c>
      <c r="DJ30" t="n">
        <f>SUM(BM30:BY30)</f>
        <v>0</v>
      </c>
      <c r="DK30" t="n">
        <f>SUM(BZ30:CL30)</f>
        <v>0</v>
      </c>
      <c r="DL30" t="n">
        <f>SUM(CM30:CY30)</f>
        <v>0</v>
      </c>
      <c r="DM30" t="str">
        <f>IF(AND(Projets!A30&lt;&gt;"",Projets!G30="Engager"),DM29&amp;IF(DM29="","",", ")&amp;Projets!B30,DM29)</f>
        <v/>
      </c>
      <c r="DN30" t="str">
        <f>IF(AND(Projets!A30&lt;&gt;"",Projets!G30="Reporter"),DN29&amp;IF(DN29="","",", ")&amp;Projets!B30,DN29)</f>
        <v/>
      </c>
    </row>
    <row r="31">
      <c r="A31" t="n">
        <f>Charges!A31</f>
        <v>0</v>
      </c>
      <c r="B31" t="n">
        <f>Charges!C31</f>
        <v>0</v>
      </c>
      <c r="C31" t="str">
        <f>Charges!D31</f>
        <v/>
      </c>
      <c r="E31" t="n">
        <f>IF(1&lt;=Paramètres!$B$9,MAX(0,IFERROR(N(IF(ISNUMBER(Charges!F31),MAX(0,Charges!F31),IFERROR(VLOOKUP(Charges!F31,Paramètres!$A$15:$B$18,2,FALSE),0))),0)),0)</f>
        <v>0</v>
      </c>
      <c r="F31" t="n">
        <f>IF(2&lt;=Paramètres!$B$9,MAX(0,IFERROR(N(IF(ISNUMBER(Charges!G31),MAX(0,Charges!G31),IFERROR(VLOOKUP(Charges!G31,Paramètres!$A$15:$B$18,2,FALSE),0))),0)),0)</f>
        <v>0</v>
      </c>
      <c r="G31" t="n">
        <f>IF(3&lt;=Paramètres!$B$9,MAX(0,IFERROR(N(IF(ISNUMBER(Charges!H31),MAX(0,Charges!H31),IFERROR(VLOOKUP(Charges!H31,Paramètres!$A$15:$B$18,2,FALSE),0))),0)),0)</f>
        <v>0</v>
      </c>
      <c r="H31" t="n">
        <f>IF(4&lt;=Paramètres!$B$9,MAX(0,IFERROR(N(IF(ISNUMBER(Charges!I31),MAX(0,Charges!I31),IFERROR(VLOOKUP(Charges!I31,Paramètres!$A$15:$B$18,2,FALSE),0))),0)),0)</f>
        <v>0</v>
      </c>
      <c r="I31" t="n">
        <f>IF(5&lt;=Paramètres!$B$9,MAX(0,IFERROR(N(IF(ISNUMBER(Charges!J31),MAX(0,Charges!J31),IFERROR(VLOOKUP(Charges!J31,Paramètres!$A$15:$B$18,2,FALSE),0))),0)),0)</f>
        <v>0</v>
      </c>
      <c r="J31" t="n">
        <f>IF(6&lt;=Paramètres!$B$9,MAX(0,IFERROR(N(IF(ISNUMBER(Charges!K31),MAX(0,Charges!K31),IFERROR(VLOOKUP(Charges!K31,Paramètres!$A$15:$B$18,2,FALSE),0))),0)),0)</f>
        <v>0</v>
      </c>
      <c r="K31" t="n">
        <f>IF(7&lt;=Paramètres!$B$9,MAX(0,IFERROR(N(IF(ISNUMBER(Charges!L31),MAX(0,Charges!L31),IFERROR(VLOOKUP(Charges!L31,Paramètres!$A$15:$B$18,2,FALSE),0))),0)),0)</f>
        <v>0</v>
      </c>
      <c r="L31" t="n">
        <f>IF(8&lt;=Paramètres!$B$9,MAX(0,IFERROR(N(IF(ISNUMBER(Charges!M31),MAX(0,Charges!M31),IFERROR(VLOOKUP(Charges!M31,Paramètres!$A$15:$B$18,2,FALSE),0))),0)),0)</f>
        <v>0</v>
      </c>
      <c r="M31" t="n">
        <f>IF(9&lt;=Paramètres!$B$9,MAX(0,IFERROR(N(IF(ISNUMBER(Charges!N31),MAX(0,Charges!N31),IFERROR(VLOOKUP(Charges!N31,Paramètres!$A$15:$B$18,2,FALSE),0))),0)),0)</f>
        <v>0</v>
      </c>
      <c r="N31" t="n">
        <f>IF(10&lt;=Paramètres!$B$9,MAX(0,IFERROR(N(IF(ISNUMBER(Charges!O31),MAX(0,Charges!O31),IFERROR(VLOOKUP(Charges!O31,Paramètres!$A$15:$B$18,2,FALSE),0))),0)),0)</f>
        <v>0</v>
      </c>
      <c r="O31" t="n">
        <f>IF(11&lt;=Paramètres!$B$9,MAX(0,IFERROR(N(IF(ISNUMBER(Charges!P31),MAX(0,Charges!P31),IFERROR(VLOOKUP(Charges!P31,Paramètres!$A$15:$B$18,2,FALSE),0))),0)),0)</f>
        <v>0</v>
      </c>
      <c r="P31" t="n">
        <f>IF(12&lt;=Paramètres!$B$9,MAX(0,IFERROR(N(IF(ISNUMBER(Charges!Q31),MAX(0,Charges!Q31),IFERROR(VLOOKUP(Charges!Q31,Paramètres!$A$15:$B$18,2,FALSE),0))),0)),0)</f>
        <v>0</v>
      </c>
      <c r="Q31" t="n">
        <f>IF(13&lt;=Paramètres!$B$9,MAX(0,IFERROR(N(IF(ISNUMBER(Charges!R31),MAX(0,Charges!R31),IFERROR(VLOOKUP(Charges!R31,Paramètres!$A$15:$B$18,2,FALSE),0))),0)),0)</f>
        <v>0</v>
      </c>
      <c r="R31" t="n">
        <f>SUM(E31:Q31)</f>
        <v>0</v>
      </c>
      <c r="S31" t="n">
        <f>IF(IFERROR(VLOOKUP(A31,'Projets'!$A$8:$Z$67,7,FALSE),"")="Engager",1,0)</f>
        <v>0</v>
      </c>
      <c r="T31" t="n">
        <f>IF(OR(Charges!F31="",AND(ISNUMBER(Charges!F31),Charges!F31&gt;=0),Charges!F31="S",Charges!F31="M",Charges!F31="L",Charges!F31="XL"),0,1)+IF(OR(Charges!G31="",AND(ISNUMBER(Charges!G31),Charges!G31&gt;=0),Charges!G31="S",Charges!G31="M",Charges!G31="L",Charges!G31="XL"),0,1)+IF(OR(Charges!H31="",AND(ISNUMBER(Charges!H31),Charges!H31&gt;=0),Charges!H31="S",Charges!H31="M",Charges!H31="L",Charges!H31="XL"),0,1)+IF(OR(Charges!I31="",AND(ISNUMBER(Charges!I31),Charges!I31&gt;=0),Charges!I31="S",Charges!I31="M",Charges!I31="L",Charges!I31="XL"),0,1)+IF(OR(Charges!J31="",AND(ISNUMBER(Charges!J31),Charges!J31&gt;=0),Charges!J31="S",Charges!J31="M",Charges!J31="L",Charges!J31="XL"),0,1)+IF(OR(Charges!K31="",AND(ISNUMBER(Charges!K31),Charges!K31&gt;=0),Charges!K31="S",Charges!K31="M",Charges!K31="L",Charges!K31="XL"),0,1)+IF(OR(Charges!L31="",AND(ISNUMBER(Charges!L31),Charges!L31&gt;=0),Charges!L31="S",Charges!L31="M",Charges!L31="L",Charges!L31="XL"),0,1)+IF(OR(Charges!M31="",AND(ISNUMBER(Charges!M31),Charges!M31&gt;=0),Charges!M31="S",Charges!M31="M",Charges!M31="L",Charges!M31="XL"),0,1)+IF(OR(Charges!N31="",AND(ISNUMBER(Charges!N31),Charges!N31&gt;=0),Charges!N31="S",Charges!N31="M",Charges!N31="L",Charges!N31="XL"),0,1)+IF(OR(Charges!O31="",AND(ISNUMBER(Charges!O31),Charges!O31&gt;=0),Charges!O31="S",Charges!O31="M",Charges!O31="L",Charges!O31="XL"),0,1)+IF(OR(Charges!P31="",AND(ISNUMBER(Charges!P31),Charges!P31&gt;=0),Charges!P31="S",Charges!P31="M",Charges!P31="L",Charges!P31="XL"),0,1)+IF(OR(Charges!Q31="",AND(ISNUMBER(Charges!Q31),Charges!Q31&gt;=0),Charges!Q31="S",Charges!Q31="M",Charges!Q31="L",Charges!Q31="XL"),0,1)+IF(OR(Charges!R31="",AND(ISNUMBER(Charges!R31),Charges!R31&gt;=0),Charges!R31="S",Charges!R31="M",Charges!R31="L",Charges!R31="XL"),0,1)</f>
        <v>0</v>
      </c>
      <c r="U31" t="n">
        <f>IF(AND(1&gt;Paramètres!$B$9,Charges!F31&lt;&gt;"",Charges!F31&lt;&gt;0),1,0)+IF(AND(2&gt;Paramètres!$B$9,Charges!G31&lt;&gt;"",Charges!G31&lt;&gt;0),1,0)+IF(AND(3&gt;Paramètres!$B$9,Charges!H31&lt;&gt;"",Charges!H31&lt;&gt;0),1,0)+IF(AND(4&gt;Paramètres!$B$9,Charges!I31&lt;&gt;"",Charges!I31&lt;&gt;0),1,0)+IF(AND(5&gt;Paramètres!$B$9,Charges!J31&lt;&gt;"",Charges!J31&lt;&gt;0),1,0)+IF(AND(6&gt;Paramètres!$B$9,Charges!K31&lt;&gt;"",Charges!K31&lt;&gt;0),1,0)+IF(AND(7&gt;Paramètres!$B$9,Charges!L31&lt;&gt;"",Charges!L31&lt;&gt;0),1,0)+IF(AND(8&gt;Paramètres!$B$9,Charges!M31&lt;&gt;"",Charges!M31&lt;&gt;0),1,0)+IF(AND(9&gt;Paramètres!$B$9,Charges!N31&lt;&gt;"",Charges!N31&lt;&gt;0),1,0)+IF(AND(10&gt;Paramètres!$B$9,Charges!O31&lt;&gt;"",Charges!O31&lt;&gt;0),1,0)+IF(AND(11&gt;Paramètres!$B$9,Charges!P31&lt;&gt;"",Charges!P31&lt;&gt;0),1,0)+IF(AND(12&gt;Paramètres!$B$9,Charges!Q31&lt;&gt;"",Charges!Q31&lt;&gt;0),1,0)+IF(AND(13&gt;Paramètres!$B$9,Charges!R31&lt;&gt;"",Charges!R31&lt;&gt;0),1,0)</f>
        <v>0</v>
      </c>
      <c r="V31" t="n">
        <f>IF(IFERROR(VLOOKUP(A31,'Projets'!$A$8:$Z$67,5,FALSE),"")="Engager",1,0)</f>
        <v>0</v>
      </c>
      <c r="W31" t="n">
        <f>IF(IFERROR(VLOOKUP(A31,'Projets'!$A$8:$Z$67,6,FALSE),"")="Engager",1,0)</f>
        <v>0</v>
      </c>
      <c r="X31" t="n">
        <f>E31*S31</f>
        <v>0</v>
      </c>
      <c r="Y31" t="n">
        <f>F31*S31</f>
        <v>0</v>
      </c>
      <c r="Z31" t="n">
        <f>G31*S31</f>
        <v>0</v>
      </c>
      <c r="AA31" t="n">
        <f>H31*S31</f>
        <v>0</v>
      </c>
      <c r="AB31" t="n">
        <f>I31*S31</f>
        <v>0</v>
      </c>
      <c r="AC31" t="n">
        <f>J31*S31</f>
        <v>0</v>
      </c>
      <c r="AD31" t="n">
        <f>K31*S31</f>
        <v>0</v>
      </c>
      <c r="AE31" t="n">
        <f>L31*S31</f>
        <v>0</v>
      </c>
      <c r="AF31" t="n">
        <f>M31*S31</f>
        <v>0</v>
      </c>
      <c r="AG31" t="n">
        <f>N31*S31</f>
        <v>0</v>
      </c>
      <c r="AH31" t="n">
        <f>O31*S31</f>
        <v>0</v>
      </c>
      <c r="AI31" t="n">
        <f>P31*S31</f>
        <v>0</v>
      </c>
      <c r="AJ31" t="n">
        <f>Q31*S31</f>
        <v>0</v>
      </c>
      <c r="AK31" t="n">
        <f>E31*V31</f>
        <v>0</v>
      </c>
      <c r="AL31" t="n">
        <f>F31*V31</f>
        <v>0</v>
      </c>
      <c r="AM31" t="n">
        <f>G31*V31</f>
        <v>0</v>
      </c>
      <c r="AN31" t="n">
        <f>H31*V31</f>
        <v>0</v>
      </c>
      <c r="AO31" t="n">
        <f>I31*V31</f>
        <v>0</v>
      </c>
      <c r="AP31" t="n">
        <f>J31*V31</f>
        <v>0</v>
      </c>
      <c r="AQ31" t="n">
        <f>K31*V31</f>
        <v>0</v>
      </c>
      <c r="AR31" t="n">
        <f>L31*V31</f>
        <v>0</v>
      </c>
      <c r="AS31" t="n">
        <f>M31*V31</f>
        <v>0</v>
      </c>
      <c r="AT31" t="n">
        <f>N31*V31</f>
        <v>0</v>
      </c>
      <c r="AU31" t="n">
        <f>O31*V31</f>
        <v>0</v>
      </c>
      <c r="AV31" t="n">
        <f>P31*V31</f>
        <v>0</v>
      </c>
      <c r="AW31" t="n">
        <f>Q31*V31</f>
        <v>0</v>
      </c>
      <c r="AX31" t="n">
        <f>E31*W31</f>
        <v>0</v>
      </c>
      <c r="AY31" t="n">
        <f>F31*W31</f>
        <v>0</v>
      </c>
      <c r="AZ31" t="n">
        <f>G31*W31</f>
        <v>0</v>
      </c>
      <c r="BA31" t="n">
        <f>H31*W31</f>
        <v>0</v>
      </c>
      <c r="BB31" t="n">
        <f>I31*W31</f>
        <v>0</v>
      </c>
      <c r="BC31" t="n">
        <f>J31*W31</f>
        <v>0</v>
      </c>
      <c r="BD31" t="n">
        <f>K31*W31</f>
        <v>0</v>
      </c>
      <c r="BE31" t="n">
        <f>L31*W31</f>
        <v>0</v>
      </c>
      <c r="BF31" t="n">
        <f>M31*W31</f>
        <v>0</v>
      </c>
      <c r="BG31" t="n">
        <f>N31*W31</f>
        <v>0</v>
      </c>
      <c r="BH31" t="n">
        <f>O31*W31</f>
        <v>0</v>
      </c>
      <c r="BI31" t="n">
        <f>P31*W31</f>
        <v>0</v>
      </c>
      <c r="BJ31" t="n">
        <f>Q31*W31</f>
        <v>0</v>
      </c>
      <c r="BM31" t="n">
        <f>IF(OR(Personnes!$A31="",1&gt;Paramètres!$B$9),0,MAX(0,SUMIF($B$8:$B$247,Personnes!$A31,$E$8:$E$247)-'Planning par personne'!C31))</f>
        <v>0</v>
      </c>
      <c r="BN31" t="n">
        <f>IF(OR(Personnes!$A31="",2&gt;Paramètres!$B$9),0,MAX(0,SUMIF($B$8:$B$247,Personnes!$A31,$F$8:$F$247)-'Planning par personne'!D31))</f>
        <v>0</v>
      </c>
      <c r="BO31" t="n">
        <f>IF(OR(Personnes!$A31="",3&gt;Paramètres!$B$9),0,MAX(0,SUMIF($B$8:$B$247,Personnes!$A31,$G$8:$G$247)-'Planning par personne'!E31))</f>
        <v>0</v>
      </c>
      <c r="BP31" t="n">
        <f>IF(OR(Personnes!$A31="",4&gt;Paramètres!$B$9),0,MAX(0,SUMIF($B$8:$B$247,Personnes!$A31,$H$8:$H$247)-'Planning par personne'!F31))</f>
        <v>0</v>
      </c>
      <c r="BQ31" t="n">
        <f>IF(OR(Personnes!$A31="",5&gt;Paramètres!$B$9),0,MAX(0,SUMIF($B$8:$B$247,Personnes!$A31,$I$8:$I$247)-'Planning par personne'!G31))</f>
        <v>0</v>
      </c>
      <c r="BR31" t="n">
        <f>IF(OR(Personnes!$A31="",6&gt;Paramètres!$B$9),0,MAX(0,SUMIF($B$8:$B$247,Personnes!$A31,$J$8:$J$247)-'Planning par personne'!H31))</f>
        <v>0</v>
      </c>
      <c r="BS31" t="n">
        <f>IF(OR(Personnes!$A31="",7&gt;Paramètres!$B$9),0,MAX(0,SUMIF($B$8:$B$247,Personnes!$A31,$K$8:$K$247)-'Planning par personne'!I31))</f>
        <v>0</v>
      </c>
      <c r="BT31" t="n">
        <f>IF(OR(Personnes!$A31="",8&gt;Paramètres!$B$9),0,MAX(0,SUMIF($B$8:$B$247,Personnes!$A31,$L$8:$L$247)-'Planning par personne'!J31))</f>
        <v>0</v>
      </c>
      <c r="BU31" t="n">
        <f>IF(OR(Personnes!$A31="",9&gt;Paramètres!$B$9),0,MAX(0,SUMIF($B$8:$B$247,Personnes!$A31,$M$8:$M$247)-'Planning par personne'!K31))</f>
        <v>0</v>
      </c>
      <c r="BV31" t="n">
        <f>IF(OR(Personnes!$A31="",10&gt;Paramètres!$B$9),0,MAX(0,SUMIF($B$8:$B$247,Personnes!$A31,$N$8:$N$247)-'Planning par personne'!L31))</f>
        <v>0</v>
      </c>
      <c r="BW31" t="n">
        <f>IF(OR(Personnes!$A31="",11&gt;Paramètres!$B$9),0,MAX(0,SUMIF($B$8:$B$247,Personnes!$A31,$O$8:$O$247)-'Planning par personne'!M31))</f>
        <v>0</v>
      </c>
      <c r="BX31" t="n">
        <f>IF(OR(Personnes!$A31="",12&gt;Paramètres!$B$9),0,MAX(0,SUMIF($B$8:$B$247,Personnes!$A31,$P$8:$P$247)-'Planning par personne'!N31))</f>
        <v>0</v>
      </c>
      <c r="BY31" t="n">
        <f>IF(OR(Personnes!$A31="",13&gt;Paramètres!$B$9),0,MAX(0,SUMIF($B$8:$B$247,Personnes!$A31,$Q$8:$Q$247)-'Planning par personne'!O31))</f>
        <v>0</v>
      </c>
      <c r="BZ31" t="n">
        <f>IF(OR(Personnes!$A31="",1&gt;Paramètres!$B$9),0,MAX(0,SUMIF($B$8:$B$247,Personnes!$A31,$AK$8:$AK$247)-'Planning par personne'!C31))</f>
        <v>0</v>
      </c>
      <c r="CA31" t="n">
        <f>IF(OR(Personnes!$A31="",2&gt;Paramètres!$B$9),0,MAX(0,SUMIF($B$8:$B$247,Personnes!$A31,$AL$8:$AL$247)-'Planning par personne'!D31))</f>
        <v>0</v>
      </c>
      <c r="CB31" t="n">
        <f>IF(OR(Personnes!$A31="",3&gt;Paramètres!$B$9),0,MAX(0,SUMIF($B$8:$B$247,Personnes!$A31,$AM$8:$AM$247)-'Planning par personne'!E31))</f>
        <v>0</v>
      </c>
      <c r="CC31" t="n">
        <f>IF(OR(Personnes!$A31="",4&gt;Paramètres!$B$9),0,MAX(0,SUMIF($B$8:$B$247,Personnes!$A31,$AN$8:$AN$247)-'Planning par personne'!F31))</f>
        <v>0</v>
      </c>
      <c r="CD31" t="n">
        <f>IF(OR(Personnes!$A31="",5&gt;Paramètres!$B$9),0,MAX(0,SUMIF($B$8:$B$247,Personnes!$A31,$AO$8:$AO$247)-'Planning par personne'!G31))</f>
        <v>0</v>
      </c>
      <c r="CE31" t="n">
        <f>IF(OR(Personnes!$A31="",6&gt;Paramètres!$B$9),0,MAX(0,SUMIF($B$8:$B$247,Personnes!$A31,$AP$8:$AP$247)-'Planning par personne'!H31))</f>
        <v>0</v>
      </c>
      <c r="CF31" t="n">
        <f>IF(OR(Personnes!$A31="",7&gt;Paramètres!$B$9),0,MAX(0,SUMIF($B$8:$B$247,Personnes!$A31,$AQ$8:$AQ$247)-'Planning par personne'!I31))</f>
        <v>0</v>
      </c>
      <c r="CG31" t="n">
        <f>IF(OR(Personnes!$A31="",8&gt;Paramètres!$B$9),0,MAX(0,SUMIF($B$8:$B$247,Personnes!$A31,$AR$8:$AR$247)-'Planning par personne'!J31))</f>
        <v>0</v>
      </c>
      <c r="CH31" t="n">
        <f>IF(OR(Personnes!$A31="",9&gt;Paramètres!$B$9),0,MAX(0,SUMIF($B$8:$B$247,Personnes!$A31,$AS$8:$AS$247)-'Planning par personne'!K31))</f>
        <v>0</v>
      </c>
      <c r="CI31" t="n">
        <f>IF(OR(Personnes!$A31="",10&gt;Paramètres!$B$9),0,MAX(0,SUMIF($B$8:$B$247,Personnes!$A31,$AT$8:$AT$247)-'Planning par personne'!L31))</f>
        <v>0</v>
      </c>
      <c r="CJ31" t="n">
        <f>IF(OR(Personnes!$A31="",11&gt;Paramètres!$B$9),0,MAX(0,SUMIF($B$8:$B$247,Personnes!$A31,$AU$8:$AU$247)-'Planning par personne'!M31))</f>
        <v>0</v>
      </c>
      <c r="CK31" t="n">
        <f>IF(OR(Personnes!$A31="",12&gt;Paramètres!$B$9),0,MAX(0,SUMIF($B$8:$B$247,Personnes!$A31,$AV$8:$AV$247)-'Planning par personne'!N31))</f>
        <v>0</v>
      </c>
      <c r="CL31" t="n">
        <f>IF(OR(Personnes!$A31="",13&gt;Paramètres!$B$9),0,MAX(0,SUMIF($B$8:$B$247,Personnes!$A31,$AW$8:$AW$247)-'Planning par personne'!O31))</f>
        <v>0</v>
      </c>
      <c r="CM31" t="n">
        <f>IF(OR(Personnes!$A31="",1&gt;Paramètres!$B$9),0,MAX(0,SUMIF($B$8:$B$247,Personnes!$A31,$AX$8:$AX$247)-'Planning par personne'!C31))</f>
        <v>0</v>
      </c>
      <c r="CN31" t="n">
        <f>IF(OR(Personnes!$A31="",2&gt;Paramètres!$B$9),0,MAX(0,SUMIF($B$8:$B$247,Personnes!$A31,$AY$8:$AY$247)-'Planning par personne'!D31))</f>
        <v>0</v>
      </c>
      <c r="CO31" t="n">
        <f>IF(OR(Personnes!$A31="",3&gt;Paramètres!$B$9),0,MAX(0,SUMIF($B$8:$B$247,Personnes!$A31,$AZ$8:$AZ$247)-'Planning par personne'!E31))</f>
        <v>0</v>
      </c>
      <c r="CP31" t="n">
        <f>IF(OR(Personnes!$A31="",4&gt;Paramètres!$B$9),0,MAX(0,SUMIF($B$8:$B$247,Personnes!$A31,$BA$8:$BA$247)-'Planning par personne'!F31))</f>
        <v>0</v>
      </c>
      <c r="CQ31" t="n">
        <f>IF(OR(Personnes!$A31="",5&gt;Paramètres!$B$9),0,MAX(0,SUMIF($B$8:$B$247,Personnes!$A31,$BB$8:$BB$247)-'Planning par personne'!G31))</f>
        <v>0</v>
      </c>
      <c r="CR31" t="n">
        <f>IF(OR(Personnes!$A31="",6&gt;Paramètres!$B$9),0,MAX(0,SUMIF($B$8:$B$247,Personnes!$A31,$BC$8:$BC$247)-'Planning par personne'!H31))</f>
        <v>0</v>
      </c>
      <c r="CS31" t="n">
        <f>IF(OR(Personnes!$A31="",7&gt;Paramètres!$B$9),0,MAX(0,SUMIF($B$8:$B$247,Personnes!$A31,$BD$8:$BD$247)-'Planning par personne'!I31))</f>
        <v>0</v>
      </c>
      <c r="CT31" t="n">
        <f>IF(OR(Personnes!$A31="",8&gt;Paramètres!$B$9),0,MAX(0,SUMIF($B$8:$B$247,Personnes!$A31,$BE$8:$BE$247)-'Planning par personne'!J31))</f>
        <v>0</v>
      </c>
      <c r="CU31" t="n">
        <f>IF(OR(Personnes!$A31="",9&gt;Paramètres!$B$9),0,MAX(0,SUMIF($B$8:$B$247,Personnes!$A31,$BF$8:$BF$247)-'Planning par personne'!K31))</f>
        <v>0</v>
      </c>
      <c r="CV31" t="n">
        <f>IF(OR(Personnes!$A31="",10&gt;Paramètres!$B$9),0,MAX(0,SUMIF($B$8:$B$247,Personnes!$A31,$BG$8:$BG$247)-'Planning par personne'!L31))</f>
        <v>0</v>
      </c>
      <c r="CW31" t="n">
        <f>IF(OR(Personnes!$A31="",11&gt;Paramètres!$B$9),0,MAX(0,SUMIF($B$8:$B$247,Personnes!$A31,$BH$8:$BH$247)-'Planning par personne'!M31))</f>
        <v>0</v>
      </c>
      <c r="CX31" t="n">
        <f>IF(OR(Personnes!$A31="",12&gt;Paramètres!$B$9),0,MAX(0,SUMIF($B$8:$B$247,Personnes!$A31,$BI$8:$BI$247)-'Planning par personne'!N31))</f>
        <v>0</v>
      </c>
      <c r="CY31" t="n">
        <f>IF(OR(Personnes!$A31="",13&gt;Paramètres!$B$9),0,MAX(0,SUMIF($B$8:$B$247,Personnes!$A31,$BJ$8:$BJ$247)-'Planning par personne'!O31))</f>
        <v>0</v>
      </c>
      <c r="DJ31" t="n">
        <f>SUM(BM31:BY31)</f>
        <v>0</v>
      </c>
      <c r="DK31" t="n">
        <f>SUM(BZ31:CL31)</f>
        <v>0</v>
      </c>
      <c r="DL31" t="n">
        <f>SUM(CM31:CY31)</f>
        <v>0</v>
      </c>
      <c r="DM31" t="str">
        <f>IF(AND(Projets!A31&lt;&gt;"",Projets!G31="Engager"),DM30&amp;IF(DM30="","",", ")&amp;Projets!B31,DM30)</f>
        <v/>
      </c>
      <c r="DN31" t="str">
        <f>IF(AND(Projets!A31&lt;&gt;"",Projets!G31="Reporter"),DN30&amp;IF(DN30="","",", ")&amp;Projets!B31,DN30)</f>
        <v/>
      </c>
    </row>
    <row r="32">
      <c r="A32" t="n">
        <f>Charges!A32</f>
        <v>0</v>
      </c>
      <c r="B32" t="n">
        <f>Charges!C32</f>
        <v>0</v>
      </c>
      <c r="C32" t="str">
        <f>Charges!D32</f>
        <v/>
      </c>
      <c r="E32" t="n">
        <f>IF(1&lt;=Paramètres!$B$9,MAX(0,IFERROR(N(IF(ISNUMBER(Charges!F32),MAX(0,Charges!F32),IFERROR(VLOOKUP(Charges!F32,Paramètres!$A$15:$B$18,2,FALSE),0))),0)),0)</f>
        <v>0</v>
      </c>
      <c r="F32" t="n">
        <f>IF(2&lt;=Paramètres!$B$9,MAX(0,IFERROR(N(IF(ISNUMBER(Charges!G32),MAX(0,Charges!G32),IFERROR(VLOOKUP(Charges!G32,Paramètres!$A$15:$B$18,2,FALSE),0))),0)),0)</f>
        <v>0</v>
      </c>
      <c r="G32" t="n">
        <f>IF(3&lt;=Paramètres!$B$9,MAX(0,IFERROR(N(IF(ISNUMBER(Charges!H32),MAX(0,Charges!H32),IFERROR(VLOOKUP(Charges!H32,Paramètres!$A$15:$B$18,2,FALSE),0))),0)),0)</f>
        <v>0</v>
      </c>
      <c r="H32" t="n">
        <f>IF(4&lt;=Paramètres!$B$9,MAX(0,IFERROR(N(IF(ISNUMBER(Charges!I32),MAX(0,Charges!I32),IFERROR(VLOOKUP(Charges!I32,Paramètres!$A$15:$B$18,2,FALSE),0))),0)),0)</f>
        <v>0</v>
      </c>
      <c r="I32" t="n">
        <f>IF(5&lt;=Paramètres!$B$9,MAX(0,IFERROR(N(IF(ISNUMBER(Charges!J32),MAX(0,Charges!J32),IFERROR(VLOOKUP(Charges!J32,Paramètres!$A$15:$B$18,2,FALSE),0))),0)),0)</f>
        <v>0</v>
      </c>
      <c r="J32" t="n">
        <f>IF(6&lt;=Paramètres!$B$9,MAX(0,IFERROR(N(IF(ISNUMBER(Charges!K32),MAX(0,Charges!K32),IFERROR(VLOOKUP(Charges!K32,Paramètres!$A$15:$B$18,2,FALSE),0))),0)),0)</f>
        <v>0</v>
      </c>
      <c r="K32" t="n">
        <f>IF(7&lt;=Paramètres!$B$9,MAX(0,IFERROR(N(IF(ISNUMBER(Charges!L32),MAX(0,Charges!L32),IFERROR(VLOOKUP(Charges!L32,Paramètres!$A$15:$B$18,2,FALSE),0))),0)),0)</f>
        <v>0</v>
      </c>
      <c r="L32" t="n">
        <f>IF(8&lt;=Paramètres!$B$9,MAX(0,IFERROR(N(IF(ISNUMBER(Charges!M32),MAX(0,Charges!M32),IFERROR(VLOOKUP(Charges!M32,Paramètres!$A$15:$B$18,2,FALSE),0))),0)),0)</f>
        <v>0</v>
      </c>
      <c r="M32" t="n">
        <f>IF(9&lt;=Paramètres!$B$9,MAX(0,IFERROR(N(IF(ISNUMBER(Charges!N32),MAX(0,Charges!N32),IFERROR(VLOOKUP(Charges!N32,Paramètres!$A$15:$B$18,2,FALSE),0))),0)),0)</f>
        <v>0</v>
      </c>
      <c r="N32" t="n">
        <f>IF(10&lt;=Paramètres!$B$9,MAX(0,IFERROR(N(IF(ISNUMBER(Charges!O32),MAX(0,Charges!O32),IFERROR(VLOOKUP(Charges!O32,Paramètres!$A$15:$B$18,2,FALSE),0))),0)),0)</f>
        <v>0</v>
      </c>
      <c r="O32" t="n">
        <f>IF(11&lt;=Paramètres!$B$9,MAX(0,IFERROR(N(IF(ISNUMBER(Charges!P32),MAX(0,Charges!P32),IFERROR(VLOOKUP(Charges!P32,Paramètres!$A$15:$B$18,2,FALSE),0))),0)),0)</f>
        <v>0</v>
      </c>
      <c r="P32" t="n">
        <f>IF(12&lt;=Paramètres!$B$9,MAX(0,IFERROR(N(IF(ISNUMBER(Charges!Q32),MAX(0,Charges!Q32),IFERROR(VLOOKUP(Charges!Q32,Paramètres!$A$15:$B$18,2,FALSE),0))),0)),0)</f>
        <v>0</v>
      </c>
      <c r="Q32" t="n">
        <f>IF(13&lt;=Paramètres!$B$9,MAX(0,IFERROR(N(IF(ISNUMBER(Charges!R32),MAX(0,Charges!R32),IFERROR(VLOOKUP(Charges!R32,Paramètres!$A$15:$B$18,2,FALSE),0))),0)),0)</f>
        <v>0</v>
      </c>
      <c r="R32" t="n">
        <f>SUM(E32:Q32)</f>
        <v>0</v>
      </c>
      <c r="S32" t="n">
        <f>IF(IFERROR(VLOOKUP(A32,'Projets'!$A$8:$Z$67,7,FALSE),"")="Engager",1,0)</f>
        <v>0</v>
      </c>
      <c r="T32" t="n">
        <f>IF(OR(Charges!F32="",AND(ISNUMBER(Charges!F32),Charges!F32&gt;=0),Charges!F32="S",Charges!F32="M",Charges!F32="L",Charges!F32="XL"),0,1)+IF(OR(Charges!G32="",AND(ISNUMBER(Charges!G32),Charges!G32&gt;=0),Charges!G32="S",Charges!G32="M",Charges!G32="L",Charges!G32="XL"),0,1)+IF(OR(Charges!H32="",AND(ISNUMBER(Charges!H32),Charges!H32&gt;=0),Charges!H32="S",Charges!H32="M",Charges!H32="L",Charges!H32="XL"),0,1)+IF(OR(Charges!I32="",AND(ISNUMBER(Charges!I32),Charges!I32&gt;=0),Charges!I32="S",Charges!I32="M",Charges!I32="L",Charges!I32="XL"),0,1)+IF(OR(Charges!J32="",AND(ISNUMBER(Charges!J32),Charges!J32&gt;=0),Charges!J32="S",Charges!J32="M",Charges!J32="L",Charges!J32="XL"),0,1)+IF(OR(Charges!K32="",AND(ISNUMBER(Charges!K32),Charges!K32&gt;=0),Charges!K32="S",Charges!K32="M",Charges!K32="L",Charges!K32="XL"),0,1)+IF(OR(Charges!L32="",AND(ISNUMBER(Charges!L32),Charges!L32&gt;=0),Charges!L32="S",Charges!L32="M",Charges!L32="L",Charges!L32="XL"),0,1)+IF(OR(Charges!M32="",AND(ISNUMBER(Charges!M32),Charges!M32&gt;=0),Charges!M32="S",Charges!M32="M",Charges!M32="L",Charges!M32="XL"),0,1)+IF(OR(Charges!N32="",AND(ISNUMBER(Charges!N32),Charges!N32&gt;=0),Charges!N32="S",Charges!N32="M",Charges!N32="L",Charges!N32="XL"),0,1)+IF(OR(Charges!O32="",AND(ISNUMBER(Charges!O32),Charges!O32&gt;=0),Charges!O32="S",Charges!O32="M",Charges!O32="L",Charges!O32="XL"),0,1)+IF(OR(Charges!P32="",AND(ISNUMBER(Charges!P32),Charges!P32&gt;=0),Charges!P32="S",Charges!P32="M",Charges!P32="L",Charges!P32="XL"),0,1)+IF(OR(Charges!Q32="",AND(ISNUMBER(Charges!Q32),Charges!Q32&gt;=0),Charges!Q32="S",Charges!Q32="M",Charges!Q32="L",Charges!Q32="XL"),0,1)+IF(OR(Charges!R32="",AND(ISNUMBER(Charges!R32),Charges!R32&gt;=0),Charges!R32="S",Charges!R32="M",Charges!R32="L",Charges!R32="XL"),0,1)</f>
        <v>0</v>
      </c>
      <c r="U32" t="n">
        <f>IF(AND(1&gt;Paramètres!$B$9,Charges!F32&lt;&gt;"",Charges!F32&lt;&gt;0),1,0)+IF(AND(2&gt;Paramètres!$B$9,Charges!G32&lt;&gt;"",Charges!G32&lt;&gt;0),1,0)+IF(AND(3&gt;Paramètres!$B$9,Charges!H32&lt;&gt;"",Charges!H32&lt;&gt;0),1,0)+IF(AND(4&gt;Paramètres!$B$9,Charges!I32&lt;&gt;"",Charges!I32&lt;&gt;0),1,0)+IF(AND(5&gt;Paramètres!$B$9,Charges!J32&lt;&gt;"",Charges!J32&lt;&gt;0),1,0)+IF(AND(6&gt;Paramètres!$B$9,Charges!K32&lt;&gt;"",Charges!K32&lt;&gt;0),1,0)+IF(AND(7&gt;Paramètres!$B$9,Charges!L32&lt;&gt;"",Charges!L32&lt;&gt;0),1,0)+IF(AND(8&gt;Paramètres!$B$9,Charges!M32&lt;&gt;"",Charges!M32&lt;&gt;0),1,0)+IF(AND(9&gt;Paramètres!$B$9,Charges!N32&lt;&gt;"",Charges!N32&lt;&gt;0),1,0)+IF(AND(10&gt;Paramètres!$B$9,Charges!O32&lt;&gt;"",Charges!O32&lt;&gt;0),1,0)+IF(AND(11&gt;Paramètres!$B$9,Charges!P32&lt;&gt;"",Charges!P32&lt;&gt;0),1,0)+IF(AND(12&gt;Paramètres!$B$9,Charges!Q32&lt;&gt;"",Charges!Q32&lt;&gt;0),1,0)+IF(AND(13&gt;Paramètres!$B$9,Charges!R32&lt;&gt;"",Charges!R32&lt;&gt;0),1,0)</f>
        <v>0</v>
      </c>
      <c r="V32" t="n">
        <f>IF(IFERROR(VLOOKUP(A32,'Projets'!$A$8:$Z$67,5,FALSE),"")="Engager",1,0)</f>
        <v>0</v>
      </c>
      <c r="W32" t="n">
        <f>IF(IFERROR(VLOOKUP(A32,'Projets'!$A$8:$Z$67,6,FALSE),"")="Engager",1,0)</f>
        <v>0</v>
      </c>
      <c r="X32" t="n">
        <f>E32*S32</f>
        <v>0</v>
      </c>
      <c r="Y32" t="n">
        <f>F32*S32</f>
        <v>0</v>
      </c>
      <c r="Z32" t="n">
        <f>G32*S32</f>
        <v>0</v>
      </c>
      <c r="AA32" t="n">
        <f>H32*S32</f>
        <v>0</v>
      </c>
      <c r="AB32" t="n">
        <f>I32*S32</f>
        <v>0</v>
      </c>
      <c r="AC32" t="n">
        <f>J32*S32</f>
        <v>0</v>
      </c>
      <c r="AD32" t="n">
        <f>K32*S32</f>
        <v>0</v>
      </c>
      <c r="AE32" t="n">
        <f>L32*S32</f>
        <v>0</v>
      </c>
      <c r="AF32" t="n">
        <f>M32*S32</f>
        <v>0</v>
      </c>
      <c r="AG32" t="n">
        <f>N32*S32</f>
        <v>0</v>
      </c>
      <c r="AH32" t="n">
        <f>O32*S32</f>
        <v>0</v>
      </c>
      <c r="AI32" t="n">
        <f>P32*S32</f>
        <v>0</v>
      </c>
      <c r="AJ32" t="n">
        <f>Q32*S32</f>
        <v>0</v>
      </c>
      <c r="AK32" t="n">
        <f>E32*V32</f>
        <v>0</v>
      </c>
      <c r="AL32" t="n">
        <f>F32*V32</f>
        <v>0</v>
      </c>
      <c r="AM32" t="n">
        <f>G32*V32</f>
        <v>0</v>
      </c>
      <c r="AN32" t="n">
        <f>H32*V32</f>
        <v>0</v>
      </c>
      <c r="AO32" t="n">
        <f>I32*V32</f>
        <v>0</v>
      </c>
      <c r="AP32" t="n">
        <f>J32*V32</f>
        <v>0</v>
      </c>
      <c r="AQ32" t="n">
        <f>K32*V32</f>
        <v>0</v>
      </c>
      <c r="AR32" t="n">
        <f>L32*V32</f>
        <v>0</v>
      </c>
      <c r="AS32" t="n">
        <f>M32*V32</f>
        <v>0</v>
      </c>
      <c r="AT32" t="n">
        <f>N32*V32</f>
        <v>0</v>
      </c>
      <c r="AU32" t="n">
        <f>O32*V32</f>
        <v>0</v>
      </c>
      <c r="AV32" t="n">
        <f>P32*V32</f>
        <v>0</v>
      </c>
      <c r="AW32" t="n">
        <f>Q32*V32</f>
        <v>0</v>
      </c>
      <c r="AX32" t="n">
        <f>E32*W32</f>
        <v>0</v>
      </c>
      <c r="AY32" t="n">
        <f>F32*W32</f>
        <v>0</v>
      </c>
      <c r="AZ32" t="n">
        <f>G32*W32</f>
        <v>0</v>
      </c>
      <c r="BA32" t="n">
        <f>H32*W32</f>
        <v>0</v>
      </c>
      <c r="BB32" t="n">
        <f>I32*W32</f>
        <v>0</v>
      </c>
      <c r="BC32" t="n">
        <f>J32*W32</f>
        <v>0</v>
      </c>
      <c r="BD32" t="n">
        <f>K32*W32</f>
        <v>0</v>
      </c>
      <c r="BE32" t="n">
        <f>L32*W32</f>
        <v>0</v>
      </c>
      <c r="BF32" t="n">
        <f>M32*W32</f>
        <v>0</v>
      </c>
      <c r="BG32" t="n">
        <f>N32*W32</f>
        <v>0</v>
      </c>
      <c r="BH32" t="n">
        <f>O32*W32</f>
        <v>0</v>
      </c>
      <c r="BI32" t="n">
        <f>P32*W32</f>
        <v>0</v>
      </c>
      <c r="BJ32" t="n">
        <f>Q32*W32</f>
        <v>0</v>
      </c>
      <c r="BM32" t="n">
        <f>IF(OR(Personnes!$A32="",1&gt;Paramètres!$B$9),0,MAX(0,SUMIF($B$8:$B$247,Personnes!$A32,$E$8:$E$247)-'Planning par personne'!C32))</f>
        <v>0</v>
      </c>
      <c r="BN32" t="n">
        <f>IF(OR(Personnes!$A32="",2&gt;Paramètres!$B$9),0,MAX(0,SUMIF($B$8:$B$247,Personnes!$A32,$F$8:$F$247)-'Planning par personne'!D32))</f>
        <v>0</v>
      </c>
      <c r="BO32" t="n">
        <f>IF(OR(Personnes!$A32="",3&gt;Paramètres!$B$9),0,MAX(0,SUMIF($B$8:$B$247,Personnes!$A32,$G$8:$G$247)-'Planning par personne'!E32))</f>
        <v>0</v>
      </c>
      <c r="BP32" t="n">
        <f>IF(OR(Personnes!$A32="",4&gt;Paramètres!$B$9),0,MAX(0,SUMIF($B$8:$B$247,Personnes!$A32,$H$8:$H$247)-'Planning par personne'!F32))</f>
        <v>0</v>
      </c>
      <c r="BQ32" t="n">
        <f>IF(OR(Personnes!$A32="",5&gt;Paramètres!$B$9),0,MAX(0,SUMIF($B$8:$B$247,Personnes!$A32,$I$8:$I$247)-'Planning par personne'!G32))</f>
        <v>0</v>
      </c>
      <c r="BR32" t="n">
        <f>IF(OR(Personnes!$A32="",6&gt;Paramètres!$B$9),0,MAX(0,SUMIF($B$8:$B$247,Personnes!$A32,$J$8:$J$247)-'Planning par personne'!H32))</f>
        <v>0</v>
      </c>
      <c r="BS32" t="n">
        <f>IF(OR(Personnes!$A32="",7&gt;Paramètres!$B$9),0,MAX(0,SUMIF($B$8:$B$247,Personnes!$A32,$K$8:$K$247)-'Planning par personne'!I32))</f>
        <v>0</v>
      </c>
      <c r="BT32" t="n">
        <f>IF(OR(Personnes!$A32="",8&gt;Paramètres!$B$9),0,MAX(0,SUMIF($B$8:$B$247,Personnes!$A32,$L$8:$L$247)-'Planning par personne'!J32))</f>
        <v>0</v>
      </c>
      <c r="BU32" t="n">
        <f>IF(OR(Personnes!$A32="",9&gt;Paramètres!$B$9),0,MAX(0,SUMIF($B$8:$B$247,Personnes!$A32,$M$8:$M$247)-'Planning par personne'!K32))</f>
        <v>0</v>
      </c>
      <c r="BV32" t="n">
        <f>IF(OR(Personnes!$A32="",10&gt;Paramètres!$B$9),0,MAX(0,SUMIF($B$8:$B$247,Personnes!$A32,$N$8:$N$247)-'Planning par personne'!L32))</f>
        <v>0</v>
      </c>
      <c r="BW32" t="n">
        <f>IF(OR(Personnes!$A32="",11&gt;Paramètres!$B$9),0,MAX(0,SUMIF($B$8:$B$247,Personnes!$A32,$O$8:$O$247)-'Planning par personne'!M32))</f>
        <v>0</v>
      </c>
      <c r="BX32" t="n">
        <f>IF(OR(Personnes!$A32="",12&gt;Paramètres!$B$9),0,MAX(0,SUMIF($B$8:$B$247,Personnes!$A32,$P$8:$P$247)-'Planning par personne'!N32))</f>
        <v>0</v>
      </c>
      <c r="BY32" t="n">
        <f>IF(OR(Personnes!$A32="",13&gt;Paramètres!$B$9),0,MAX(0,SUMIF($B$8:$B$247,Personnes!$A32,$Q$8:$Q$247)-'Planning par personne'!O32))</f>
        <v>0</v>
      </c>
      <c r="BZ32" t="n">
        <f>IF(OR(Personnes!$A32="",1&gt;Paramètres!$B$9),0,MAX(0,SUMIF($B$8:$B$247,Personnes!$A32,$AK$8:$AK$247)-'Planning par personne'!C32))</f>
        <v>0</v>
      </c>
      <c r="CA32" t="n">
        <f>IF(OR(Personnes!$A32="",2&gt;Paramètres!$B$9),0,MAX(0,SUMIF($B$8:$B$247,Personnes!$A32,$AL$8:$AL$247)-'Planning par personne'!D32))</f>
        <v>0</v>
      </c>
      <c r="CB32" t="n">
        <f>IF(OR(Personnes!$A32="",3&gt;Paramètres!$B$9),0,MAX(0,SUMIF($B$8:$B$247,Personnes!$A32,$AM$8:$AM$247)-'Planning par personne'!E32))</f>
        <v>0</v>
      </c>
      <c r="CC32" t="n">
        <f>IF(OR(Personnes!$A32="",4&gt;Paramètres!$B$9),0,MAX(0,SUMIF($B$8:$B$247,Personnes!$A32,$AN$8:$AN$247)-'Planning par personne'!F32))</f>
        <v>0</v>
      </c>
      <c r="CD32" t="n">
        <f>IF(OR(Personnes!$A32="",5&gt;Paramètres!$B$9),0,MAX(0,SUMIF($B$8:$B$247,Personnes!$A32,$AO$8:$AO$247)-'Planning par personne'!G32))</f>
        <v>0</v>
      </c>
      <c r="CE32" t="n">
        <f>IF(OR(Personnes!$A32="",6&gt;Paramètres!$B$9),0,MAX(0,SUMIF($B$8:$B$247,Personnes!$A32,$AP$8:$AP$247)-'Planning par personne'!H32))</f>
        <v>0</v>
      </c>
      <c r="CF32" t="n">
        <f>IF(OR(Personnes!$A32="",7&gt;Paramètres!$B$9),0,MAX(0,SUMIF($B$8:$B$247,Personnes!$A32,$AQ$8:$AQ$247)-'Planning par personne'!I32))</f>
        <v>0</v>
      </c>
      <c r="CG32" t="n">
        <f>IF(OR(Personnes!$A32="",8&gt;Paramètres!$B$9),0,MAX(0,SUMIF($B$8:$B$247,Personnes!$A32,$AR$8:$AR$247)-'Planning par personne'!J32))</f>
        <v>0</v>
      </c>
      <c r="CH32" t="n">
        <f>IF(OR(Personnes!$A32="",9&gt;Paramètres!$B$9),0,MAX(0,SUMIF($B$8:$B$247,Personnes!$A32,$AS$8:$AS$247)-'Planning par personne'!K32))</f>
        <v>0</v>
      </c>
      <c r="CI32" t="n">
        <f>IF(OR(Personnes!$A32="",10&gt;Paramètres!$B$9),0,MAX(0,SUMIF($B$8:$B$247,Personnes!$A32,$AT$8:$AT$247)-'Planning par personne'!L32))</f>
        <v>0</v>
      </c>
      <c r="CJ32" t="n">
        <f>IF(OR(Personnes!$A32="",11&gt;Paramètres!$B$9),0,MAX(0,SUMIF($B$8:$B$247,Personnes!$A32,$AU$8:$AU$247)-'Planning par personne'!M32))</f>
        <v>0</v>
      </c>
      <c r="CK32" t="n">
        <f>IF(OR(Personnes!$A32="",12&gt;Paramètres!$B$9),0,MAX(0,SUMIF($B$8:$B$247,Personnes!$A32,$AV$8:$AV$247)-'Planning par personne'!N32))</f>
        <v>0</v>
      </c>
      <c r="CL32" t="n">
        <f>IF(OR(Personnes!$A32="",13&gt;Paramètres!$B$9),0,MAX(0,SUMIF($B$8:$B$247,Personnes!$A32,$AW$8:$AW$247)-'Planning par personne'!O32))</f>
        <v>0</v>
      </c>
      <c r="CM32" t="n">
        <f>IF(OR(Personnes!$A32="",1&gt;Paramètres!$B$9),0,MAX(0,SUMIF($B$8:$B$247,Personnes!$A32,$AX$8:$AX$247)-'Planning par personne'!C32))</f>
        <v>0</v>
      </c>
      <c r="CN32" t="n">
        <f>IF(OR(Personnes!$A32="",2&gt;Paramètres!$B$9),0,MAX(0,SUMIF($B$8:$B$247,Personnes!$A32,$AY$8:$AY$247)-'Planning par personne'!D32))</f>
        <v>0</v>
      </c>
      <c r="CO32" t="n">
        <f>IF(OR(Personnes!$A32="",3&gt;Paramètres!$B$9),0,MAX(0,SUMIF($B$8:$B$247,Personnes!$A32,$AZ$8:$AZ$247)-'Planning par personne'!E32))</f>
        <v>0</v>
      </c>
      <c r="CP32" t="n">
        <f>IF(OR(Personnes!$A32="",4&gt;Paramètres!$B$9),0,MAX(0,SUMIF($B$8:$B$247,Personnes!$A32,$BA$8:$BA$247)-'Planning par personne'!F32))</f>
        <v>0</v>
      </c>
      <c r="CQ32" t="n">
        <f>IF(OR(Personnes!$A32="",5&gt;Paramètres!$B$9),0,MAX(0,SUMIF($B$8:$B$247,Personnes!$A32,$BB$8:$BB$247)-'Planning par personne'!G32))</f>
        <v>0</v>
      </c>
      <c r="CR32" t="n">
        <f>IF(OR(Personnes!$A32="",6&gt;Paramètres!$B$9),0,MAX(0,SUMIF($B$8:$B$247,Personnes!$A32,$BC$8:$BC$247)-'Planning par personne'!H32))</f>
        <v>0</v>
      </c>
      <c r="CS32" t="n">
        <f>IF(OR(Personnes!$A32="",7&gt;Paramètres!$B$9),0,MAX(0,SUMIF($B$8:$B$247,Personnes!$A32,$BD$8:$BD$247)-'Planning par personne'!I32))</f>
        <v>0</v>
      </c>
      <c r="CT32" t="n">
        <f>IF(OR(Personnes!$A32="",8&gt;Paramètres!$B$9),0,MAX(0,SUMIF($B$8:$B$247,Personnes!$A32,$BE$8:$BE$247)-'Planning par personne'!J32))</f>
        <v>0</v>
      </c>
      <c r="CU32" t="n">
        <f>IF(OR(Personnes!$A32="",9&gt;Paramètres!$B$9),0,MAX(0,SUMIF($B$8:$B$247,Personnes!$A32,$BF$8:$BF$247)-'Planning par personne'!K32))</f>
        <v>0</v>
      </c>
      <c r="CV32" t="n">
        <f>IF(OR(Personnes!$A32="",10&gt;Paramètres!$B$9),0,MAX(0,SUMIF($B$8:$B$247,Personnes!$A32,$BG$8:$BG$247)-'Planning par personne'!L32))</f>
        <v>0</v>
      </c>
      <c r="CW32" t="n">
        <f>IF(OR(Personnes!$A32="",11&gt;Paramètres!$B$9),0,MAX(0,SUMIF($B$8:$B$247,Personnes!$A32,$BH$8:$BH$247)-'Planning par personne'!M32))</f>
        <v>0</v>
      </c>
      <c r="CX32" t="n">
        <f>IF(OR(Personnes!$A32="",12&gt;Paramètres!$B$9),0,MAX(0,SUMIF($B$8:$B$247,Personnes!$A32,$BI$8:$BI$247)-'Planning par personne'!N32))</f>
        <v>0</v>
      </c>
      <c r="CY32" t="n">
        <f>IF(OR(Personnes!$A32="",13&gt;Paramètres!$B$9),0,MAX(0,SUMIF($B$8:$B$247,Personnes!$A32,$BJ$8:$BJ$247)-'Planning par personne'!O32))</f>
        <v>0</v>
      </c>
      <c r="DJ32" t="n">
        <f>SUM(BM32:BY32)</f>
        <v>0</v>
      </c>
      <c r="DK32" t="n">
        <f>SUM(BZ32:CL32)</f>
        <v>0</v>
      </c>
      <c r="DL32" t="n">
        <f>SUM(CM32:CY32)</f>
        <v>0</v>
      </c>
      <c r="DM32" t="str">
        <f>IF(AND(Projets!A32&lt;&gt;"",Projets!G32="Engager"),DM31&amp;IF(DM31="","",", ")&amp;Projets!B32,DM31)</f>
        <v/>
      </c>
      <c r="DN32" t="str">
        <f>IF(AND(Projets!A32&lt;&gt;"",Projets!G32="Reporter"),DN31&amp;IF(DN31="","",", ")&amp;Projets!B32,DN31)</f>
        <v/>
      </c>
    </row>
    <row r="33">
      <c r="A33" t="n">
        <f>Charges!A33</f>
        <v>0</v>
      </c>
      <c r="B33" t="n">
        <f>Charges!C33</f>
        <v>0</v>
      </c>
      <c r="C33" t="str">
        <f>Charges!D33</f>
        <v/>
      </c>
      <c r="E33" t="n">
        <f>IF(1&lt;=Paramètres!$B$9,MAX(0,IFERROR(N(IF(ISNUMBER(Charges!F33),MAX(0,Charges!F33),IFERROR(VLOOKUP(Charges!F33,Paramètres!$A$15:$B$18,2,FALSE),0))),0)),0)</f>
        <v>0</v>
      </c>
      <c r="F33" t="n">
        <f>IF(2&lt;=Paramètres!$B$9,MAX(0,IFERROR(N(IF(ISNUMBER(Charges!G33),MAX(0,Charges!G33),IFERROR(VLOOKUP(Charges!G33,Paramètres!$A$15:$B$18,2,FALSE),0))),0)),0)</f>
        <v>0</v>
      </c>
      <c r="G33" t="n">
        <f>IF(3&lt;=Paramètres!$B$9,MAX(0,IFERROR(N(IF(ISNUMBER(Charges!H33),MAX(0,Charges!H33),IFERROR(VLOOKUP(Charges!H33,Paramètres!$A$15:$B$18,2,FALSE),0))),0)),0)</f>
        <v>0</v>
      </c>
      <c r="H33" t="n">
        <f>IF(4&lt;=Paramètres!$B$9,MAX(0,IFERROR(N(IF(ISNUMBER(Charges!I33),MAX(0,Charges!I33),IFERROR(VLOOKUP(Charges!I33,Paramètres!$A$15:$B$18,2,FALSE),0))),0)),0)</f>
        <v>0</v>
      </c>
      <c r="I33" t="n">
        <f>IF(5&lt;=Paramètres!$B$9,MAX(0,IFERROR(N(IF(ISNUMBER(Charges!J33),MAX(0,Charges!J33),IFERROR(VLOOKUP(Charges!J33,Paramètres!$A$15:$B$18,2,FALSE),0))),0)),0)</f>
        <v>0</v>
      </c>
      <c r="J33" t="n">
        <f>IF(6&lt;=Paramètres!$B$9,MAX(0,IFERROR(N(IF(ISNUMBER(Charges!K33),MAX(0,Charges!K33),IFERROR(VLOOKUP(Charges!K33,Paramètres!$A$15:$B$18,2,FALSE),0))),0)),0)</f>
        <v>0</v>
      </c>
      <c r="K33" t="n">
        <f>IF(7&lt;=Paramètres!$B$9,MAX(0,IFERROR(N(IF(ISNUMBER(Charges!L33),MAX(0,Charges!L33),IFERROR(VLOOKUP(Charges!L33,Paramètres!$A$15:$B$18,2,FALSE),0))),0)),0)</f>
        <v>0</v>
      </c>
      <c r="L33" t="n">
        <f>IF(8&lt;=Paramètres!$B$9,MAX(0,IFERROR(N(IF(ISNUMBER(Charges!M33),MAX(0,Charges!M33),IFERROR(VLOOKUP(Charges!M33,Paramètres!$A$15:$B$18,2,FALSE),0))),0)),0)</f>
        <v>0</v>
      </c>
      <c r="M33" t="n">
        <f>IF(9&lt;=Paramètres!$B$9,MAX(0,IFERROR(N(IF(ISNUMBER(Charges!N33),MAX(0,Charges!N33),IFERROR(VLOOKUP(Charges!N33,Paramètres!$A$15:$B$18,2,FALSE),0))),0)),0)</f>
        <v>0</v>
      </c>
      <c r="N33" t="n">
        <f>IF(10&lt;=Paramètres!$B$9,MAX(0,IFERROR(N(IF(ISNUMBER(Charges!O33),MAX(0,Charges!O33),IFERROR(VLOOKUP(Charges!O33,Paramètres!$A$15:$B$18,2,FALSE),0))),0)),0)</f>
        <v>0</v>
      </c>
      <c r="O33" t="n">
        <f>IF(11&lt;=Paramètres!$B$9,MAX(0,IFERROR(N(IF(ISNUMBER(Charges!P33),MAX(0,Charges!P33),IFERROR(VLOOKUP(Charges!P33,Paramètres!$A$15:$B$18,2,FALSE),0))),0)),0)</f>
        <v>0</v>
      </c>
      <c r="P33" t="n">
        <f>IF(12&lt;=Paramètres!$B$9,MAX(0,IFERROR(N(IF(ISNUMBER(Charges!Q33),MAX(0,Charges!Q33),IFERROR(VLOOKUP(Charges!Q33,Paramètres!$A$15:$B$18,2,FALSE),0))),0)),0)</f>
        <v>0</v>
      </c>
      <c r="Q33" t="n">
        <f>IF(13&lt;=Paramètres!$B$9,MAX(0,IFERROR(N(IF(ISNUMBER(Charges!R33),MAX(0,Charges!R33),IFERROR(VLOOKUP(Charges!R33,Paramètres!$A$15:$B$18,2,FALSE),0))),0)),0)</f>
        <v>0</v>
      </c>
      <c r="R33" t="n">
        <f>SUM(E33:Q33)</f>
        <v>0</v>
      </c>
      <c r="S33" t="n">
        <f>IF(IFERROR(VLOOKUP(A33,'Projets'!$A$8:$Z$67,7,FALSE),"")="Engager",1,0)</f>
        <v>0</v>
      </c>
      <c r="T33" t="n">
        <f>IF(OR(Charges!F33="",AND(ISNUMBER(Charges!F33),Charges!F33&gt;=0),Charges!F33="S",Charges!F33="M",Charges!F33="L",Charges!F33="XL"),0,1)+IF(OR(Charges!G33="",AND(ISNUMBER(Charges!G33),Charges!G33&gt;=0),Charges!G33="S",Charges!G33="M",Charges!G33="L",Charges!G33="XL"),0,1)+IF(OR(Charges!H33="",AND(ISNUMBER(Charges!H33),Charges!H33&gt;=0),Charges!H33="S",Charges!H33="M",Charges!H33="L",Charges!H33="XL"),0,1)+IF(OR(Charges!I33="",AND(ISNUMBER(Charges!I33),Charges!I33&gt;=0),Charges!I33="S",Charges!I33="M",Charges!I33="L",Charges!I33="XL"),0,1)+IF(OR(Charges!J33="",AND(ISNUMBER(Charges!J33),Charges!J33&gt;=0),Charges!J33="S",Charges!J33="M",Charges!J33="L",Charges!J33="XL"),0,1)+IF(OR(Charges!K33="",AND(ISNUMBER(Charges!K33),Charges!K33&gt;=0),Charges!K33="S",Charges!K33="M",Charges!K33="L",Charges!K33="XL"),0,1)+IF(OR(Charges!L33="",AND(ISNUMBER(Charges!L33),Charges!L33&gt;=0),Charges!L33="S",Charges!L33="M",Charges!L33="L",Charges!L33="XL"),0,1)+IF(OR(Charges!M33="",AND(ISNUMBER(Charges!M33),Charges!M33&gt;=0),Charges!M33="S",Charges!M33="M",Charges!M33="L",Charges!M33="XL"),0,1)+IF(OR(Charges!N33="",AND(ISNUMBER(Charges!N33),Charges!N33&gt;=0),Charges!N33="S",Charges!N33="M",Charges!N33="L",Charges!N33="XL"),0,1)+IF(OR(Charges!O33="",AND(ISNUMBER(Charges!O33),Charges!O33&gt;=0),Charges!O33="S",Charges!O33="M",Charges!O33="L",Charges!O33="XL"),0,1)+IF(OR(Charges!P33="",AND(ISNUMBER(Charges!P33),Charges!P33&gt;=0),Charges!P33="S",Charges!P33="M",Charges!P33="L",Charges!P33="XL"),0,1)+IF(OR(Charges!Q33="",AND(ISNUMBER(Charges!Q33),Charges!Q33&gt;=0),Charges!Q33="S",Charges!Q33="M",Charges!Q33="L",Charges!Q33="XL"),0,1)+IF(OR(Charges!R33="",AND(ISNUMBER(Charges!R33),Charges!R33&gt;=0),Charges!R33="S",Charges!R33="M",Charges!R33="L",Charges!R33="XL"),0,1)</f>
        <v>0</v>
      </c>
      <c r="U33" t="n">
        <f>IF(AND(1&gt;Paramètres!$B$9,Charges!F33&lt;&gt;"",Charges!F33&lt;&gt;0),1,0)+IF(AND(2&gt;Paramètres!$B$9,Charges!G33&lt;&gt;"",Charges!G33&lt;&gt;0),1,0)+IF(AND(3&gt;Paramètres!$B$9,Charges!H33&lt;&gt;"",Charges!H33&lt;&gt;0),1,0)+IF(AND(4&gt;Paramètres!$B$9,Charges!I33&lt;&gt;"",Charges!I33&lt;&gt;0),1,0)+IF(AND(5&gt;Paramètres!$B$9,Charges!J33&lt;&gt;"",Charges!J33&lt;&gt;0),1,0)+IF(AND(6&gt;Paramètres!$B$9,Charges!K33&lt;&gt;"",Charges!K33&lt;&gt;0),1,0)+IF(AND(7&gt;Paramètres!$B$9,Charges!L33&lt;&gt;"",Charges!L33&lt;&gt;0),1,0)+IF(AND(8&gt;Paramètres!$B$9,Charges!M33&lt;&gt;"",Charges!M33&lt;&gt;0),1,0)+IF(AND(9&gt;Paramètres!$B$9,Charges!N33&lt;&gt;"",Charges!N33&lt;&gt;0),1,0)+IF(AND(10&gt;Paramètres!$B$9,Charges!O33&lt;&gt;"",Charges!O33&lt;&gt;0),1,0)+IF(AND(11&gt;Paramètres!$B$9,Charges!P33&lt;&gt;"",Charges!P33&lt;&gt;0),1,0)+IF(AND(12&gt;Paramètres!$B$9,Charges!Q33&lt;&gt;"",Charges!Q33&lt;&gt;0),1,0)+IF(AND(13&gt;Paramètres!$B$9,Charges!R33&lt;&gt;"",Charges!R33&lt;&gt;0),1,0)</f>
        <v>0</v>
      </c>
      <c r="V33" t="n">
        <f>IF(IFERROR(VLOOKUP(A33,'Projets'!$A$8:$Z$67,5,FALSE),"")="Engager",1,0)</f>
        <v>0</v>
      </c>
      <c r="W33" t="n">
        <f>IF(IFERROR(VLOOKUP(A33,'Projets'!$A$8:$Z$67,6,FALSE),"")="Engager",1,0)</f>
        <v>0</v>
      </c>
      <c r="X33" t="n">
        <f>E33*S33</f>
        <v>0</v>
      </c>
      <c r="Y33" t="n">
        <f>F33*S33</f>
        <v>0</v>
      </c>
      <c r="Z33" t="n">
        <f>G33*S33</f>
        <v>0</v>
      </c>
      <c r="AA33" t="n">
        <f>H33*S33</f>
        <v>0</v>
      </c>
      <c r="AB33" t="n">
        <f>I33*S33</f>
        <v>0</v>
      </c>
      <c r="AC33" t="n">
        <f>J33*S33</f>
        <v>0</v>
      </c>
      <c r="AD33" t="n">
        <f>K33*S33</f>
        <v>0</v>
      </c>
      <c r="AE33" t="n">
        <f>L33*S33</f>
        <v>0</v>
      </c>
      <c r="AF33" t="n">
        <f>M33*S33</f>
        <v>0</v>
      </c>
      <c r="AG33" t="n">
        <f>N33*S33</f>
        <v>0</v>
      </c>
      <c r="AH33" t="n">
        <f>O33*S33</f>
        <v>0</v>
      </c>
      <c r="AI33" t="n">
        <f>P33*S33</f>
        <v>0</v>
      </c>
      <c r="AJ33" t="n">
        <f>Q33*S33</f>
        <v>0</v>
      </c>
      <c r="AK33" t="n">
        <f>E33*V33</f>
        <v>0</v>
      </c>
      <c r="AL33" t="n">
        <f>F33*V33</f>
        <v>0</v>
      </c>
      <c r="AM33" t="n">
        <f>G33*V33</f>
        <v>0</v>
      </c>
      <c r="AN33" t="n">
        <f>H33*V33</f>
        <v>0</v>
      </c>
      <c r="AO33" t="n">
        <f>I33*V33</f>
        <v>0</v>
      </c>
      <c r="AP33" t="n">
        <f>J33*V33</f>
        <v>0</v>
      </c>
      <c r="AQ33" t="n">
        <f>K33*V33</f>
        <v>0</v>
      </c>
      <c r="AR33" t="n">
        <f>L33*V33</f>
        <v>0</v>
      </c>
      <c r="AS33" t="n">
        <f>M33*V33</f>
        <v>0</v>
      </c>
      <c r="AT33" t="n">
        <f>N33*V33</f>
        <v>0</v>
      </c>
      <c r="AU33" t="n">
        <f>O33*V33</f>
        <v>0</v>
      </c>
      <c r="AV33" t="n">
        <f>P33*V33</f>
        <v>0</v>
      </c>
      <c r="AW33" t="n">
        <f>Q33*V33</f>
        <v>0</v>
      </c>
      <c r="AX33" t="n">
        <f>E33*W33</f>
        <v>0</v>
      </c>
      <c r="AY33" t="n">
        <f>F33*W33</f>
        <v>0</v>
      </c>
      <c r="AZ33" t="n">
        <f>G33*W33</f>
        <v>0</v>
      </c>
      <c r="BA33" t="n">
        <f>H33*W33</f>
        <v>0</v>
      </c>
      <c r="BB33" t="n">
        <f>I33*W33</f>
        <v>0</v>
      </c>
      <c r="BC33" t="n">
        <f>J33*W33</f>
        <v>0</v>
      </c>
      <c r="BD33" t="n">
        <f>K33*W33</f>
        <v>0</v>
      </c>
      <c r="BE33" t="n">
        <f>L33*W33</f>
        <v>0</v>
      </c>
      <c r="BF33" t="n">
        <f>M33*W33</f>
        <v>0</v>
      </c>
      <c r="BG33" t="n">
        <f>N33*W33</f>
        <v>0</v>
      </c>
      <c r="BH33" t="n">
        <f>O33*W33</f>
        <v>0</v>
      </c>
      <c r="BI33" t="n">
        <f>P33*W33</f>
        <v>0</v>
      </c>
      <c r="BJ33" t="n">
        <f>Q33*W33</f>
        <v>0</v>
      </c>
      <c r="BM33" t="n">
        <f>IF(OR(Personnes!$A33="",1&gt;Paramètres!$B$9),0,MAX(0,SUMIF($B$8:$B$247,Personnes!$A33,$E$8:$E$247)-'Planning par personne'!C33))</f>
        <v>0</v>
      </c>
      <c r="BN33" t="n">
        <f>IF(OR(Personnes!$A33="",2&gt;Paramètres!$B$9),0,MAX(0,SUMIF($B$8:$B$247,Personnes!$A33,$F$8:$F$247)-'Planning par personne'!D33))</f>
        <v>0</v>
      </c>
      <c r="BO33" t="n">
        <f>IF(OR(Personnes!$A33="",3&gt;Paramètres!$B$9),0,MAX(0,SUMIF($B$8:$B$247,Personnes!$A33,$G$8:$G$247)-'Planning par personne'!E33))</f>
        <v>0</v>
      </c>
      <c r="BP33" t="n">
        <f>IF(OR(Personnes!$A33="",4&gt;Paramètres!$B$9),0,MAX(0,SUMIF($B$8:$B$247,Personnes!$A33,$H$8:$H$247)-'Planning par personne'!F33))</f>
        <v>0</v>
      </c>
      <c r="BQ33" t="n">
        <f>IF(OR(Personnes!$A33="",5&gt;Paramètres!$B$9),0,MAX(0,SUMIF($B$8:$B$247,Personnes!$A33,$I$8:$I$247)-'Planning par personne'!G33))</f>
        <v>0</v>
      </c>
      <c r="BR33" t="n">
        <f>IF(OR(Personnes!$A33="",6&gt;Paramètres!$B$9),0,MAX(0,SUMIF($B$8:$B$247,Personnes!$A33,$J$8:$J$247)-'Planning par personne'!H33))</f>
        <v>0</v>
      </c>
      <c r="BS33" t="n">
        <f>IF(OR(Personnes!$A33="",7&gt;Paramètres!$B$9),0,MAX(0,SUMIF($B$8:$B$247,Personnes!$A33,$K$8:$K$247)-'Planning par personne'!I33))</f>
        <v>0</v>
      </c>
      <c r="BT33" t="n">
        <f>IF(OR(Personnes!$A33="",8&gt;Paramètres!$B$9),0,MAX(0,SUMIF($B$8:$B$247,Personnes!$A33,$L$8:$L$247)-'Planning par personne'!J33))</f>
        <v>0</v>
      </c>
      <c r="BU33" t="n">
        <f>IF(OR(Personnes!$A33="",9&gt;Paramètres!$B$9),0,MAX(0,SUMIF($B$8:$B$247,Personnes!$A33,$M$8:$M$247)-'Planning par personne'!K33))</f>
        <v>0</v>
      </c>
      <c r="BV33" t="n">
        <f>IF(OR(Personnes!$A33="",10&gt;Paramètres!$B$9),0,MAX(0,SUMIF($B$8:$B$247,Personnes!$A33,$N$8:$N$247)-'Planning par personne'!L33))</f>
        <v>0</v>
      </c>
      <c r="BW33" t="n">
        <f>IF(OR(Personnes!$A33="",11&gt;Paramètres!$B$9),0,MAX(0,SUMIF($B$8:$B$247,Personnes!$A33,$O$8:$O$247)-'Planning par personne'!M33))</f>
        <v>0</v>
      </c>
      <c r="BX33" t="n">
        <f>IF(OR(Personnes!$A33="",12&gt;Paramètres!$B$9),0,MAX(0,SUMIF($B$8:$B$247,Personnes!$A33,$P$8:$P$247)-'Planning par personne'!N33))</f>
        <v>0</v>
      </c>
      <c r="BY33" t="n">
        <f>IF(OR(Personnes!$A33="",13&gt;Paramètres!$B$9),0,MAX(0,SUMIF($B$8:$B$247,Personnes!$A33,$Q$8:$Q$247)-'Planning par personne'!O33))</f>
        <v>0</v>
      </c>
      <c r="BZ33" t="n">
        <f>IF(OR(Personnes!$A33="",1&gt;Paramètres!$B$9),0,MAX(0,SUMIF($B$8:$B$247,Personnes!$A33,$AK$8:$AK$247)-'Planning par personne'!C33))</f>
        <v>0</v>
      </c>
      <c r="CA33" t="n">
        <f>IF(OR(Personnes!$A33="",2&gt;Paramètres!$B$9),0,MAX(0,SUMIF($B$8:$B$247,Personnes!$A33,$AL$8:$AL$247)-'Planning par personne'!D33))</f>
        <v>0</v>
      </c>
      <c r="CB33" t="n">
        <f>IF(OR(Personnes!$A33="",3&gt;Paramètres!$B$9),0,MAX(0,SUMIF($B$8:$B$247,Personnes!$A33,$AM$8:$AM$247)-'Planning par personne'!E33))</f>
        <v>0</v>
      </c>
      <c r="CC33" t="n">
        <f>IF(OR(Personnes!$A33="",4&gt;Paramètres!$B$9),0,MAX(0,SUMIF($B$8:$B$247,Personnes!$A33,$AN$8:$AN$247)-'Planning par personne'!F33))</f>
        <v>0</v>
      </c>
      <c r="CD33" t="n">
        <f>IF(OR(Personnes!$A33="",5&gt;Paramètres!$B$9),0,MAX(0,SUMIF($B$8:$B$247,Personnes!$A33,$AO$8:$AO$247)-'Planning par personne'!G33))</f>
        <v>0</v>
      </c>
      <c r="CE33" t="n">
        <f>IF(OR(Personnes!$A33="",6&gt;Paramètres!$B$9),0,MAX(0,SUMIF($B$8:$B$247,Personnes!$A33,$AP$8:$AP$247)-'Planning par personne'!H33))</f>
        <v>0</v>
      </c>
      <c r="CF33" t="n">
        <f>IF(OR(Personnes!$A33="",7&gt;Paramètres!$B$9),0,MAX(0,SUMIF($B$8:$B$247,Personnes!$A33,$AQ$8:$AQ$247)-'Planning par personne'!I33))</f>
        <v>0</v>
      </c>
      <c r="CG33" t="n">
        <f>IF(OR(Personnes!$A33="",8&gt;Paramètres!$B$9),0,MAX(0,SUMIF($B$8:$B$247,Personnes!$A33,$AR$8:$AR$247)-'Planning par personne'!J33))</f>
        <v>0</v>
      </c>
      <c r="CH33" t="n">
        <f>IF(OR(Personnes!$A33="",9&gt;Paramètres!$B$9),0,MAX(0,SUMIF($B$8:$B$247,Personnes!$A33,$AS$8:$AS$247)-'Planning par personne'!K33))</f>
        <v>0</v>
      </c>
      <c r="CI33" t="n">
        <f>IF(OR(Personnes!$A33="",10&gt;Paramètres!$B$9),0,MAX(0,SUMIF($B$8:$B$247,Personnes!$A33,$AT$8:$AT$247)-'Planning par personne'!L33))</f>
        <v>0</v>
      </c>
      <c r="CJ33" t="n">
        <f>IF(OR(Personnes!$A33="",11&gt;Paramètres!$B$9),0,MAX(0,SUMIF($B$8:$B$247,Personnes!$A33,$AU$8:$AU$247)-'Planning par personne'!M33))</f>
        <v>0</v>
      </c>
      <c r="CK33" t="n">
        <f>IF(OR(Personnes!$A33="",12&gt;Paramètres!$B$9),0,MAX(0,SUMIF($B$8:$B$247,Personnes!$A33,$AV$8:$AV$247)-'Planning par personne'!N33))</f>
        <v>0</v>
      </c>
      <c r="CL33" t="n">
        <f>IF(OR(Personnes!$A33="",13&gt;Paramètres!$B$9),0,MAX(0,SUMIF($B$8:$B$247,Personnes!$A33,$AW$8:$AW$247)-'Planning par personne'!O33))</f>
        <v>0</v>
      </c>
      <c r="CM33" t="n">
        <f>IF(OR(Personnes!$A33="",1&gt;Paramètres!$B$9),0,MAX(0,SUMIF($B$8:$B$247,Personnes!$A33,$AX$8:$AX$247)-'Planning par personne'!C33))</f>
        <v>0</v>
      </c>
      <c r="CN33" t="n">
        <f>IF(OR(Personnes!$A33="",2&gt;Paramètres!$B$9),0,MAX(0,SUMIF($B$8:$B$247,Personnes!$A33,$AY$8:$AY$247)-'Planning par personne'!D33))</f>
        <v>0</v>
      </c>
      <c r="CO33" t="n">
        <f>IF(OR(Personnes!$A33="",3&gt;Paramètres!$B$9),0,MAX(0,SUMIF($B$8:$B$247,Personnes!$A33,$AZ$8:$AZ$247)-'Planning par personne'!E33))</f>
        <v>0</v>
      </c>
      <c r="CP33" t="n">
        <f>IF(OR(Personnes!$A33="",4&gt;Paramètres!$B$9),0,MAX(0,SUMIF($B$8:$B$247,Personnes!$A33,$BA$8:$BA$247)-'Planning par personne'!F33))</f>
        <v>0</v>
      </c>
      <c r="CQ33" t="n">
        <f>IF(OR(Personnes!$A33="",5&gt;Paramètres!$B$9),0,MAX(0,SUMIF($B$8:$B$247,Personnes!$A33,$BB$8:$BB$247)-'Planning par personne'!G33))</f>
        <v>0</v>
      </c>
      <c r="CR33" t="n">
        <f>IF(OR(Personnes!$A33="",6&gt;Paramètres!$B$9),0,MAX(0,SUMIF($B$8:$B$247,Personnes!$A33,$BC$8:$BC$247)-'Planning par personne'!H33))</f>
        <v>0</v>
      </c>
      <c r="CS33" t="n">
        <f>IF(OR(Personnes!$A33="",7&gt;Paramètres!$B$9),0,MAX(0,SUMIF($B$8:$B$247,Personnes!$A33,$BD$8:$BD$247)-'Planning par personne'!I33))</f>
        <v>0</v>
      </c>
      <c r="CT33" t="n">
        <f>IF(OR(Personnes!$A33="",8&gt;Paramètres!$B$9),0,MAX(0,SUMIF($B$8:$B$247,Personnes!$A33,$BE$8:$BE$247)-'Planning par personne'!J33))</f>
        <v>0</v>
      </c>
      <c r="CU33" t="n">
        <f>IF(OR(Personnes!$A33="",9&gt;Paramètres!$B$9),0,MAX(0,SUMIF($B$8:$B$247,Personnes!$A33,$BF$8:$BF$247)-'Planning par personne'!K33))</f>
        <v>0</v>
      </c>
      <c r="CV33" t="n">
        <f>IF(OR(Personnes!$A33="",10&gt;Paramètres!$B$9),0,MAX(0,SUMIF($B$8:$B$247,Personnes!$A33,$BG$8:$BG$247)-'Planning par personne'!L33))</f>
        <v>0</v>
      </c>
      <c r="CW33" t="n">
        <f>IF(OR(Personnes!$A33="",11&gt;Paramètres!$B$9),0,MAX(0,SUMIF($B$8:$B$247,Personnes!$A33,$BH$8:$BH$247)-'Planning par personne'!M33))</f>
        <v>0</v>
      </c>
      <c r="CX33" t="n">
        <f>IF(OR(Personnes!$A33="",12&gt;Paramètres!$B$9),0,MAX(0,SUMIF($B$8:$B$247,Personnes!$A33,$BI$8:$BI$247)-'Planning par personne'!N33))</f>
        <v>0</v>
      </c>
      <c r="CY33" t="n">
        <f>IF(OR(Personnes!$A33="",13&gt;Paramètres!$B$9),0,MAX(0,SUMIF($B$8:$B$247,Personnes!$A33,$BJ$8:$BJ$247)-'Planning par personne'!O33))</f>
        <v>0</v>
      </c>
      <c r="DJ33" t="n">
        <f>SUM(BM33:BY33)</f>
        <v>0</v>
      </c>
      <c r="DK33" t="n">
        <f>SUM(BZ33:CL33)</f>
        <v>0</v>
      </c>
      <c r="DL33" t="n">
        <f>SUM(CM33:CY33)</f>
        <v>0</v>
      </c>
      <c r="DM33" t="str">
        <f>IF(AND(Projets!A33&lt;&gt;"",Projets!G33="Engager"),DM32&amp;IF(DM32="","",", ")&amp;Projets!B33,DM32)</f>
        <v/>
      </c>
      <c r="DN33" t="str">
        <f>IF(AND(Projets!A33&lt;&gt;"",Projets!G33="Reporter"),DN32&amp;IF(DN32="","",", ")&amp;Projets!B33,DN32)</f>
        <v/>
      </c>
    </row>
    <row r="34">
      <c r="A34" t="n">
        <f>Charges!A34</f>
        <v>0</v>
      </c>
      <c r="B34" t="n">
        <f>Charges!C34</f>
        <v>0</v>
      </c>
      <c r="C34" t="str">
        <f>Charges!D34</f>
        <v/>
      </c>
      <c r="E34" t="n">
        <f>IF(1&lt;=Paramètres!$B$9,MAX(0,IFERROR(N(IF(ISNUMBER(Charges!F34),MAX(0,Charges!F34),IFERROR(VLOOKUP(Charges!F34,Paramètres!$A$15:$B$18,2,FALSE),0))),0)),0)</f>
        <v>0</v>
      </c>
      <c r="F34" t="n">
        <f>IF(2&lt;=Paramètres!$B$9,MAX(0,IFERROR(N(IF(ISNUMBER(Charges!G34),MAX(0,Charges!G34),IFERROR(VLOOKUP(Charges!G34,Paramètres!$A$15:$B$18,2,FALSE),0))),0)),0)</f>
        <v>0</v>
      </c>
      <c r="G34" t="n">
        <f>IF(3&lt;=Paramètres!$B$9,MAX(0,IFERROR(N(IF(ISNUMBER(Charges!H34),MAX(0,Charges!H34),IFERROR(VLOOKUP(Charges!H34,Paramètres!$A$15:$B$18,2,FALSE),0))),0)),0)</f>
        <v>0</v>
      </c>
      <c r="H34" t="n">
        <f>IF(4&lt;=Paramètres!$B$9,MAX(0,IFERROR(N(IF(ISNUMBER(Charges!I34),MAX(0,Charges!I34),IFERROR(VLOOKUP(Charges!I34,Paramètres!$A$15:$B$18,2,FALSE),0))),0)),0)</f>
        <v>0</v>
      </c>
      <c r="I34" t="n">
        <f>IF(5&lt;=Paramètres!$B$9,MAX(0,IFERROR(N(IF(ISNUMBER(Charges!J34),MAX(0,Charges!J34),IFERROR(VLOOKUP(Charges!J34,Paramètres!$A$15:$B$18,2,FALSE),0))),0)),0)</f>
        <v>0</v>
      </c>
      <c r="J34" t="n">
        <f>IF(6&lt;=Paramètres!$B$9,MAX(0,IFERROR(N(IF(ISNUMBER(Charges!K34),MAX(0,Charges!K34),IFERROR(VLOOKUP(Charges!K34,Paramètres!$A$15:$B$18,2,FALSE),0))),0)),0)</f>
        <v>0</v>
      </c>
      <c r="K34" t="n">
        <f>IF(7&lt;=Paramètres!$B$9,MAX(0,IFERROR(N(IF(ISNUMBER(Charges!L34),MAX(0,Charges!L34),IFERROR(VLOOKUP(Charges!L34,Paramètres!$A$15:$B$18,2,FALSE),0))),0)),0)</f>
        <v>0</v>
      </c>
      <c r="L34" t="n">
        <f>IF(8&lt;=Paramètres!$B$9,MAX(0,IFERROR(N(IF(ISNUMBER(Charges!M34),MAX(0,Charges!M34),IFERROR(VLOOKUP(Charges!M34,Paramètres!$A$15:$B$18,2,FALSE),0))),0)),0)</f>
        <v>0</v>
      </c>
      <c r="M34" t="n">
        <f>IF(9&lt;=Paramètres!$B$9,MAX(0,IFERROR(N(IF(ISNUMBER(Charges!N34),MAX(0,Charges!N34),IFERROR(VLOOKUP(Charges!N34,Paramètres!$A$15:$B$18,2,FALSE),0))),0)),0)</f>
        <v>0</v>
      </c>
      <c r="N34" t="n">
        <f>IF(10&lt;=Paramètres!$B$9,MAX(0,IFERROR(N(IF(ISNUMBER(Charges!O34),MAX(0,Charges!O34),IFERROR(VLOOKUP(Charges!O34,Paramètres!$A$15:$B$18,2,FALSE),0))),0)),0)</f>
        <v>0</v>
      </c>
      <c r="O34" t="n">
        <f>IF(11&lt;=Paramètres!$B$9,MAX(0,IFERROR(N(IF(ISNUMBER(Charges!P34),MAX(0,Charges!P34),IFERROR(VLOOKUP(Charges!P34,Paramètres!$A$15:$B$18,2,FALSE),0))),0)),0)</f>
        <v>0</v>
      </c>
      <c r="P34" t="n">
        <f>IF(12&lt;=Paramètres!$B$9,MAX(0,IFERROR(N(IF(ISNUMBER(Charges!Q34),MAX(0,Charges!Q34),IFERROR(VLOOKUP(Charges!Q34,Paramètres!$A$15:$B$18,2,FALSE),0))),0)),0)</f>
        <v>0</v>
      </c>
      <c r="Q34" t="n">
        <f>IF(13&lt;=Paramètres!$B$9,MAX(0,IFERROR(N(IF(ISNUMBER(Charges!R34),MAX(0,Charges!R34),IFERROR(VLOOKUP(Charges!R34,Paramètres!$A$15:$B$18,2,FALSE),0))),0)),0)</f>
        <v>0</v>
      </c>
      <c r="R34" t="n">
        <f>SUM(E34:Q34)</f>
        <v>0</v>
      </c>
      <c r="S34" t="n">
        <f>IF(IFERROR(VLOOKUP(A34,'Projets'!$A$8:$Z$67,7,FALSE),"")="Engager",1,0)</f>
        <v>0</v>
      </c>
      <c r="T34" t="n">
        <f>IF(OR(Charges!F34="",AND(ISNUMBER(Charges!F34),Charges!F34&gt;=0),Charges!F34="S",Charges!F34="M",Charges!F34="L",Charges!F34="XL"),0,1)+IF(OR(Charges!G34="",AND(ISNUMBER(Charges!G34),Charges!G34&gt;=0),Charges!G34="S",Charges!G34="M",Charges!G34="L",Charges!G34="XL"),0,1)+IF(OR(Charges!H34="",AND(ISNUMBER(Charges!H34),Charges!H34&gt;=0),Charges!H34="S",Charges!H34="M",Charges!H34="L",Charges!H34="XL"),0,1)+IF(OR(Charges!I34="",AND(ISNUMBER(Charges!I34),Charges!I34&gt;=0),Charges!I34="S",Charges!I34="M",Charges!I34="L",Charges!I34="XL"),0,1)+IF(OR(Charges!J34="",AND(ISNUMBER(Charges!J34),Charges!J34&gt;=0),Charges!J34="S",Charges!J34="M",Charges!J34="L",Charges!J34="XL"),0,1)+IF(OR(Charges!K34="",AND(ISNUMBER(Charges!K34),Charges!K34&gt;=0),Charges!K34="S",Charges!K34="M",Charges!K34="L",Charges!K34="XL"),0,1)+IF(OR(Charges!L34="",AND(ISNUMBER(Charges!L34),Charges!L34&gt;=0),Charges!L34="S",Charges!L34="M",Charges!L34="L",Charges!L34="XL"),0,1)+IF(OR(Charges!M34="",AND(ISNUMBER(Charges!M34),Charges!M34&gt;=0),Charges!M34="S",Charges!M34="M",Charges!M34="L",Charges!M34="XL"),0,1)+IF(OR(Charges!N34="",AND(ISNUMBER(Charges!N34),Charges!N34&gt;=0),Charges!N34="S",Charges!N34="M",Charges!N34="L",Charges!N34="XL"),0,1)+IF(OR(Charges!O34="",AND(ISNUMBER(Charges!O34),Charges!O34&gt;=0),Charges!O34="S",Charges!O34="M",Charges!O34="L",Charges!O34="XL"),0,1)+IF(OR(Charges!P34="",AND(ISNUMBER(Charges!P34),Charges!P34&gt;=0),Charges!P34="S",Charges!P34="M",Charges!P34="L",Charges!P34="XL"),0,1)+IF(OR(Charges!Q34="",AND(ISNUMBER(Charges!Q34),Charges!Q34&gt;=0),Charges!Q34="S",Charges!Q34="M",Charges!Q34="L",Charges!Q34="XL"),0,1)+IF(OR(Charges!R34="",AND(ISNUMBER(Charges!R34),Charges!R34&gt;=0),Charges!R34="S",Charges!R34="M",Charges!R34="L",Charges!R34="XL"),0,1)</f>
        <v>0</v>
      </c>
      <c r="U34" t="n">
        <f>IF(AND(1&gt;Paramètres!$B$9,Charges!F34&lt;&gt;"",Charges!F34&lt;&gt;0),1,0)+IF(AND(2&gt;Paramètres!$B$9,Charges!G34&lt;&gt;"",Charges!G34&lt;&gt;0),1,0)+IF(AND(3&gt;Paramètres!$B$9,Charges!H34&lt;&gt;"",Charges!H34&lt;&gt;0),1,0)+IF(AND(4&gt;Paramètres!$B$9,Charges!I34&lt;&gt;"",Charges!I34&lt;&gt;0),1,0)+IF(AND(5&gt;Paramètres!$B$9,Charges!J34&lt;&gt;"",Charges!J34&lt;&gt;0),1,0)+IF(AND(6&gt;Paramètres!$B$9,Charges!K34&lt;&gt;"",Charges!K34&lt;&gt;0),1,0)+IF(AND(7&gt;Paramètres!$B$9,Charges!L34&lt;&gt;"",Charges!L34&lt;&gt;0),1,0)+IF(AND(8&gt;Paramètres!$B$9,Charges!M34&lt;&gt;"",Charges!M34&lt;&gt;0),1,0)+IF(AND(9&gt;Paramètres!$B$9,Charges!N34&lt;&gt;"",Charges!N34&lt;&gt;0),1,0)+IF(AND(10&gt;Paramètres!$B$9,Charges!O34&lt;&gt;"",Charges!O34&lt;&gt;0),1,0)+IF(AND(11&gt;Paramètres!$B$9,Charges!P34&lt;&gt;"",Charges!P34&lt;&gt;0),1,0)+IF(AND(12&gt;Paramètres!$B$9,Charges!Q34&lt;&gt;"",Charges!Q34&lt;&gt;0),1,0)+IF(AND(13&gt;Paramètres!$B$9,Charges!R34&lt;&gt;"",Charges!R34&lt;&gt;0),1,0)</f>
        <v>0</v>
      </c>
      <c r="V34" t="n">
        <f>IF(IFERROR(VLOOKUP(A34,'Projets'!$A$8:$Z$67,5,FALSE),"")="Engager",1,0)</f>
        <v>0</v>
      </c>
      <c r="W34" t="n">
        <f>IF(IFERROR(VLOOKUP(A34,'Projets'!$A$8:$Z$67,6,FALSE),"")="Engager",1,0)</f>
        <v>0</v>
      </c>
      <c r="X34" t="n">
        <f>E34*S34</f>
        <v>0</v>
      </c>
      <c r="Y34" t="n">
        <f>F34*S34</f>
        <v>0</v>
      </c>
      <c r="Z34" t="n">
        <f>G34*S34</f>
        <v>0</v>
      </c>
      <c r="AA34" t="n">
        <f>H34*S34</f>
        <v>0</v>
      </c>
      <c r="AB34" t="n">
        <f>I34*S34</f>
        <v>0</v>
      </c>
      <c r="AC34" t="n">
        <f>J34*S34</f>
        <v>0</v>
      </c>
      <c r="AD34" t="n">
        <f>K34*S34</f>
        <v>0</v>
      </c>
      <c r="AE34" t="n">
        <f>L34*S34</f>
        <v>0</v>
      </c>
      <c r="AF34" t="n">
        <f>M34*S34</f>
        <v>0</v>
      </c>
      <c r="AG34" t="n">
        <f>N34*S34</f>
        <v>0</v>
      </c>
      <c r="AH34" t="n">
        <f>O34*S34</f>
        <v>0</v>
      </c>
      <c r="AI34" t="n">
        <f>P34*S34</f>
        <v>0</v>
      </c>
      <c r="AJ34" t="n">
        <f>Q34*S34</f>
        <v>0</v>
      </c>
      <c r="AK34" t="n">
        <f>E34*V34</f>
        <v>0</v>
      </c>
      <c r="AL34" t="n">
        <f>F34*V34</f>
        <v>0</v>
      </c>
      <c r="AM34" t="n">
        <f>G34*V34</f>
        <v>0</v>
      </c>
      <c r="AN34" t="n">
        <f>H34*V34</f>
        <v>0</v>
      </c>
      <c r="AO34" t="n">
        <f>I34*V34</f>
        <v>0</v>
      </c>
      <c r="AP34" t="n">
        <f>J34*V34</f>
        <v>0</v>
      </c>
      <c r="AQ34" t="n">
        <f>K34*V34</f>
        <v>0</v>
      </c>
      <c r="AR34" t="n">
        <f>L34*V34</f>
        <v>0</v>
      </c>
      <c r="AS34" t="n">
        <f>M34*V34</f>
        <v>0</v>
      </c>
      <c r="AT34" t="n">
        <f>N34*V34</f>
        <v>0</v>
      </c>
      <c r="AU34" t="n">
        <f>O34*V34</f>
        <v>0</v>
      </c>
      <c r="AV34" t="n">
        <f>P34*V34</f>
        <v>0</v>
      </c>
      <c r="AW34" t="n">
        <f>Q34*V34</f>
        <v>0</v>
      </c>
      <c r="AX34" t="n">
        <f>E34*W34</f>
        <v>0</v>
      </c>
      <c r="AY34" t="n">
        <f>F34*W34</f>
        <v>0</v>
      </c>
      <c r="AZ34" t="n">
        <f>G34*W34</f>
        <v>0</v>
      </c>
      <c r="BA34" t="n">
        <f>H34*W34</f>
        <v>0</v>
      </c>
      <c r="BB34" t="n">
        <f>I34*W34</f>
        <v>0</v>
      </c>
      <c r="BC34" t="n">
        <f>J34*W34</f>
        <v>0</v>
      </c>
      <c r="BD34" t="n">
        <f>K34*W34</f>
        <v>0</v>
      </c>
      <c r="BE34" t="n">
        <f>L34*W34</f>
        <v>0</v>
      </c>
      <c r="BF34" t="n">
        <f>M34*W34</f>
        <v>0</v>
      </c>
      <c r="BG34" t="n">
        <f>N34*W34</f>
        <v>0</v>
      </c>
      <c r="BH34" t="n">
        <f>O34*W34</f>
        <v>0</v>
      </c>
      <c r="BI34" t="n">
        <f>P34*W34</f>
        <v>0</v>
      </c>
      <c r="BJ34" t="n">
        <f>Q34*W34</f>
        <v>0</v>
      </c>
      <c r="BM34" t="n">
        <f>IF(OR(Personnes!$A34="",1&gt;Paramètres!$B$9),0,MAX(0,SUMIF($B$8:$B$247,Personnes!$A34,$E$8:$E$247)-'Planning par personne'!C34))</f>
        <v>0</v>
      </c>
      <c r="BN34" t="n">
        <f>IF(OR(Personnes!$A34="",2&gt;Paramètres!$B$9),0,MAX(0,SUMIF($B$8:$B$247,Personnes!$A34,$F$8:$F$247)-'Planning par personne'!D34))</f>
        <v>0</v>
      </c>
      <c r="BO34" t="n">
        <f>IF(OR(Personnes!$A34="",3&gt;Paramètres!$B$9),0,MAX(0,SUMIF($B$8:$B$247,Personnes!$A34,$G$8:$G$247)-'Planning par personne'!E34))</f>
        <v>0</v>
      </c>
      <c r="BP34" t="n">
        <f>IF(OR(Personnes!$A34="",4&gt;Paramètres!$B$9),0,MAX(0,SUMIF($B$8:$B$247,Personnes!$A34,$H$8:$H$247)-'Planning par personne'!F34))</f>
        <v>0</v>
      </c>
      <c r="BQ34" t="n">
        <f>IF(OR(Personnes!$A34="",5&gt;Paramètres!$B$9),0,MAX(0,SUMIF($B$8:$B$247,Personnes!$A34,$I$8:$I$247)-'Planning par personne'!G34))</f>
        <v>0</v>
      </c>
      <c r="BR34" t="n">
        <f>IF(OR(Personnes!$A34="",6&gt;Paramètres!$B$9),0,MAX(0,SUMIF($B$8:$B$247,Personnes!$A34,$J$8:$J$247)-'Planning par personne'!H34))</f>
        <v>0</v>
      </c>
      <c r="BS34" t="n">
        <f>IF(OR(Personnes!$A34="",7&gt;Paramètres!$B$9),0,MAX(0,SUMIF($B$8:$B$247,Personnes!$A34,$K$8:$K$247)-'Planning par personne'!I34))</f>
        <v>0</v>
      </c>
      <c r="BT34" t="n">
        <f>IF(OR(Personnes!$A34="",8&gt;Paramètres!$B$9),0,MAX(0,SUMIF($B$8:$B$247,Personnes!$A34,$L$8:$L$247)-'Planning par personne'!J34))</f>
        <v>0</v>
      </c>
      <c r="BU34" t="n">
        <f>IF(OR(Personnes!$A34="",9&gt;Paramètres!$B$9),0,MAX(0,SUMIF($B$8:$B$247,Personnes!$A34,$M$8:$M$247)-'Planning par personne'!K34))</f>
        <v>0</v>
      </c>
      <c r="BV34" t="n">
        <f>IF(OR(Personnes!$A34="",10&gt;Paramètres!$B$9),0,MAX(0,SUMIF($B$8:$B$247,Personnes!$A34,$N$8:$N$247)-'Planning par personne'!L34))</f>
        <v>0</v>
      </c>
      <c r="BW34" t="n">
        <f>IF(OR(Personnes!$A34="",11&gt;Paramètres!$B$9),0,MAX(0,SUMIF($B$8:$B$247,Personnes!$A34,$O$8:$O$247)-'Planning par personne'!M34))</f>
        <v>0</v>
      </c>
      <c r="BX34" t="n">
        <f>IF(OR(Personnes!$A34="",12&gt;Paramètres!$B$9),0,MAX(0,SUMIF($B$8:$B$247,Personnes!$A34,$P$8:$P$247)-'Planning par personne'!N34))</f>
        <v>0</v>
      </c>
      <c r="BY34" t="n">
        <f>IF(OR(Personnes!$A34="",13&gt;Paramètres!$B$9),0,MAX(0,SUMIF($B$8:$B$247,Personnes!$A34,$Q$8:$Q$247)-'Planning par personne'!O34))</f>
        <v>0</v>
      </c>
      <c r="BZ34" t="n">
        <f>IF(OR(Personnes!$A34="",1&gt;Paramètres!$B$9),0,MAX(0,SUMIF($B$8:$B$247,Personnes!$A34,$AK$8:$AK$247)-'Planning par personne'!C34))</f>
        <v>0</v>
      </c>
      <c r="CA34" t="n">
        <f>IF(OR(Personnes!$A34="",2&gt;Paramètres!$B$9),0,MAX(0,SUMIF($B$8:$B$247,Personnes!$A34,$AL$8:$AL$247)-'Planning par personne'!D34))</f>
        <v>0</v>
      </c>
      <c r="CB34" t="n">
        <f>IF(OR(Personnes!$A34="",3&gt;Paramètres!$B$9),0,MAX(0,SUMIF($B$8:$B$247,Personnes!$A34,$AM$8:$AM$247)-'Planning par personne'!E34))</f>
        <v>0</v>
      </c>
      <c r="CC34" t="n">
        <f>IF(OR(Personnes!$A34="",4&gt;Paramètres!$B$9),0,MAX(0,SUMIF($B$8:$B$247,Personnes!$A34,$AN$8:$AN$247)-'Planning par personne'!F34))</f>
        <v>0</v>
      </c>
      <c r="CD34" t="n">
        <f>IF(OR(Personnes!$A34="",5&gt;Paramètres!$B$9),0,MAX(0,SUMIF($B$8:$B$247,Personnes!$A34,$AO$8:$AO$247)-'Planning par personne'!G34))</f>
        <v>0</v>
      </c>
      <c r="CE34" t="n">
        <f>IF(OR(Personnes!$A34="",6&gt;Paramètres!$B$9),0,MAX(0,SUMIF($B$8:$B$247,Personnes!$A34,$AP$8:$AP$247)-'Planning par personne'!H34))</f>
        <v>0</v>
      </c>
      <c r="CF34" t="n">
        <f>IF(OR(Personnes!$A34="",7&gt;Paramètres!$B$9),0,MAX(0,SUMIF($B$8:$B$247,Personnes!$A34,$AQ$8:$AQ$247)-'Planning par personne'!I34))</f>
        <v>0</v>
      </c>
      <c r="CG34" t="n">
        <f>IF(OR(Personnes!$A34="",8&gt;Paramètres!$B$9),0,MAX(0,SUMIF($B$8:$B$247,Personnes!$A34,$AR$8:$AR$247)-'Planning par personne'!J34))</f>
        <v>0</v>
      </c>
      <c r="CH34" t="n">
        <f>IF(OR(Personnes!$A34="",9&gt;Paramètres!$B$9),0,MAX(0,SUMIF($B$8:$B$247,Personnes!$A34,$AS$8:$AS$247)-'Planning par personne'!K34))</f>
        <v>0</v>
      </c>
      <c r="CI34" t="n">
        <f>IF(OR(Personnes!$A34="",10&gt;Paramètres!$B$9),0,MAX(0,SUMIF($B$8:$B$247,Personnes!$A34,$AT$8:$AT$247)-'Planning par personne'!L34))</f>
        <v>0</v>
      </c>
      <c r="CJ34" t="n">
        <f>IF(OR(Personnes!$A34="",11&gt;Paramètres!$B$9),0,MAX(0,SUMIF($B$8:$B$247,Personnes!$A34,$AU$8:$AU$247)-'Planning par personne'!M34))</f>
        <v>0</v>
      </c>
      <c r="CK34" t="n">
        <f>IF(OR(Personnes!$A34="",12&gt;Paramètres!$B$9),0,MAX(0,SUMIF($B$8:$B$247,Personnes!$A34,$AV$8:$AV$247)-'Planning par personne'!N34))</f>
        <v>0</v>
      </c>
      <c r="CL34" t="n">
        <f>IF(OR(Personnes!$A34="",13&gt;Paramètres!$B$9),0,MAX(0,SUMIF($B$8:$B$247,Personnes!$A34,$AW$8:$AW$247)-'Planning par personne'!O34))</f>
        <v>0</v>
      </c>
      <c r="CM34" t="n">
        <f>IF(OR(Personnes!$A34="",1&gt;Paramètres!$B$9),0,MAX(0,SUMIF($B$8:$B$247,Personnes!$A34,$AX$8:$AX$247)-'Planning par personne'!C34))</f>
        <v>0</v>
      </c>
      <c r="CN34" t="n">
        <f>IF(OR(Personnes!$A34="",2&gt;Paramètres!$B$9),0,MAX(0,SUMIF($B$8:$B$247,Personnes!$A34,$AY$8:$AY$247)-'Planning par personne'!D34))</f>
        <v>0</v>
      </c>
      <c r="CO34" t="n">
        <f>IF(OR(Personnes!$A34="",3&gt;Paramètres!$B$9),0,MAX(0,SUMIF($B$8:$B$247,Personnes!$A34,$AZ$8:$AZ$247)-'Planning par personne'!E34))</f>
        <v>0</v>
      </c>
      <c r="CP34" t="n">
        <f>IF(OR(Personnes!$A34="",4&gt;Paramètres!$B$9),0,MAX(0,SUMIF($B$8:$B$247,Personnes!$A34,$BA$8:$BA$247)-'Planning par personne'!F34))</f>
        <v>0</v>
      </c>
      <c r="CQ34" t="n">
        <f>IF(OR(Personnes!$A34="",5&gt;Paramètres!$B$9),0,MAX(0,SUMIF($B$8:$B$247,Personnes!$A34,$BB$8:$BB$247)-'Planning par personne'!G34))</f>
        <v>0</v>
      </c>
      <c r="CR34" t="n">
        <f>IF(OR(Personnes!$A34="",6&gt;Paramètres!$B$9),0,MAX(0,SUMIF($B$8:$B$247,Personnes!$A34,$BC$8:$BC$247)-'Planning par personne'!H34))</f>
        <v>0</v>
      </c>
      <c r="CS34" t="n">
        <f>IF(OR(Personnes!$A34="",7&gt;Paramètres!$B$9),0,MAX(0,SUMIF($B$8:$B$247,Personnes!$A34,$BD$8:$BD$247)-'Planning par personne'!I34))</f>
        <v>0</v>
      </c>
      <c r="CT34" t="n">
        <f>IF(OR(Personnes!$A34="",8&gt;Paramètres!$B$9),0,MAX(0,SUMIF($B$8:$B$247,Personnes!$A34,$BE$8:$BE$247)-'Planning par personne'!J34))</f>
        <v>0</v>
      </c>
      <c r="CU34" t="n">
        <f>IF(OR(Personnes!$A34="",9&gt;Paramètres!$B$9),0,MAX(0,SUMIF($B$8:$B$247,Personnes!$A34,$BF$8:$BF$247)-'Planning par personne'!K34))</f>
        <v>0</v>
      </c>
      <c r="CV34" t="n">
        <f>IF(OR(Personnes!$A34="",10&gt;Paramètres!$B$9),0,MAX(0,SUMIF($B$8:$B$247,Personnes!$A34,$BG$8:$BG$247)-'Planning par personne'!L34))</f>
        <v>0</v>
      </c>
      <c r="CW34" t="n">
        <f>IF(OR(Personnes!$A34="",11&gt;Paramètres!$B$9),0,MAX(0,SUMIF($B$8:$B$247,Personnes!$A34,$BH$8:$BH$247)-'Planning par personne'!M34))</f>
        <v>0</v>
      </c>
      <c r="CX34" t="n">
        <f>IF(OR(Personnes!$A34="",12&gt;Paramètres!$B$9),0,MAX(0,SUMIF($B$8:$B$247,Personnes!$A34,$BI$8:$BI$247)-'Planning par personne'!N34))</f>
        <v>0</v>
      </c>
      <c r="CY34" t="n">
        <f>IF(OR(Personnes!$A34="",13&gt;Paramètres!$B$9),0,MAX(0,SUMIF($B$8:$B$247,Personnes!$A34,$BJ$8:$BJ$247)-'Planning par personne'!O34))</f>
        <v>0</v>
      </c>
      <c r="DJ34" t="n">
        <f>SUM(BM34:BY34)</f>
        <v>0</v>
      </c>
      <c r="DK34" t="n">
        <f>SUM(BZ34:CL34)</f>
        <v>0</v>
      </c>
      <c r="DL34" t="n">
        <f>SUM(CM34:CY34)</f>
        <v>0</v>
      </c>
      <c r="DM34" t="str">
        <f>IF(AND(Projets!A34&lt;&gt;"",Projets!G34="Engager"),DM33&amp;IF(DM33="","",", ")&amp;Projets!B34,DM33)</f>
        <v/>
      </c>
      <c r="DN34" t="str">
        <f>IF(AND(Projets!A34&lt;&gt;"",Projets!G34="Reporter"),DN33&amp;IF(DN33="","",", ")&amp;Projets!B34,DN33)</f>
        <v/>
      </c>
    </row>
    <row r="35">
      <c r="A35" t="n">
        <f>Charges!A35</f>
        <v>0</v>
      </c>
      <c r="B35" t="n">
        <f>Charges!C35</f>
        <v>0</v>
      </c>
      <c r="C35" t="str">
        <f>Charges!D35</f>
        <v/>
      </c>
      <c r="E35" t="n">
        <f>IF(1&lt;=Paramètres!$B$9,MAX(0,IFERROR(N(IF(ISNUMBER(Charges!F35),MAX(0,Charges!F35),IFERROR(VLOOKUP(Charges!F35,Paramètres!$A$15:$B$18,2,FALSE),0))),0)),0)</f>
        <v>0</v>
      </c>
      <c r="F35" t="n">
        <f>IF(2&lt;=Paramètres!$B$9,MAX(0,IFERROR(N(IF(ISNUMBER(Charges!G35),MAX(0,Charges!G35),IFERROR(VLOOKUP(Charges!G35,Paramètres!$A$15:$B$18,2,FALSE),0))),0)),0)</f>
        <v>0</v>
      </c>
      <c r="G35" t="n">
        <f>IF(3&lt;=Paramètres!$B$9,MAX(0,IFERROR(N(IF(ISNUMBER(Charges!H35),MAX(0,Charges!H35),IFERROR(VLOOKUP(Charges!H35,Paramètres!$A$15:$B$18,2,FALSE),0))),0)),0)</f>
        <v>0</v>
      </c>
      <c r="H35" t="n">
        <f>IF(4&lt;=Paramètres!$B$9,MAX(0,IFERROR(N(IF(ISNUMBER(Charges!I35),MAX(0,Charges!I35),IFERROR(VLOOKUP(Charges!I35,Paramètres!$A$15:$B$18,2,FALSE),0))),0)),0)</f>
        <v>0</v>
      </c>
      <c r="I35" t="n">
        <f>IF(5&lt;=Paramètres!$B$9,MAX(0,IFERROR(N(IF(ISNUMBER(Charges!J35),MAX(0,Charges!J35),IFERROR(VLOOKUP(Charges!J35,Paramètres!$A$15:$B$18,2,FALSE),0))),0)),0)</f>
        <v>0</v>
      </c>
      <c r="J35" t="n">
        <f>IF(6&lt;=Paramètres!$B$9,MAX(0,IFERROR(N(IF(ISNUMBER(Charges!K35),MAX(0,Charges!K35),IFERROR(VLOOKUP(Charges!K35,Paramètres!$A$15:$B$18,2,FALSE),0))),0)),0)</f>
        <v>0</v>
      </c>
      <c r="K35" t="n">
        <f>IF(7&lt;=Paramètres!$B$9,MAX(0,IFERROR(N(IF(ISNUMBER(Charges!L35),MAX(0,Charges!L35),IFERROR(VLOOKUP(Charges!L35,Paramètres!$A$15:$B$18,2,FALSE),0))),0)),0)</f>
        <v>0</v>
      </c>
      <c r="L35" t="n">
        <f>IF(8&lt;=Paramètres!$B$9,MAX(0,IFERROR(N(IF(ISNUMBER(Charges!M35),MAX(0,Charges!M35),IFERROR(VLOOKUP(Charges!M35,Paramètres!$A$15:$B$18,2,FALSE),0))),0)),0)</f>
        <v>0</v>
      </c>
      <c r="M35" t="n">
        <f>IF(9&lt;=Paramètres!$B$9,MAX(0,IFERROR(N(IF(ISNUMBER(Charges!N35),MAX(0,Charges!N35),IFERROR(VLOOKUP(Charges!N35,Paramètres!$A$15:$B$18,2,FALSE),0))),0)),0)</f>
        <v>0</v>
      </c>
      <c r="N35" t="n">
        <f>IF(10&lt;=Paramètres!$B$9,MAX(0,IFERROR(N(IF(ISNUMBER(Charges!O35),MAX(0,Charges!O35),IFERROR(VLOOKUP(Charges!O35,Paramètres!$A$15:$B$18,2,FALSE),0))),0)),0)</f>
        <v>0</v>
      </c>
      <c r="O35" t="n">
        <f>IF(11&lt;=Paramètres!$B$9,MAX(0,IFERROR(N(IF(ISNUMBER(Charges!P35),MAX(0,Charges!P35),IFERROR(VLOOKUP(Charges!P35,Paramètres!$A$15:$B$18,2,FALSE),0))),0)),0)</f>
        <v>0</v>
      </c>
      <c r="P35" t="n">
        <f>IF(12&lt;=Paramètres!$B$9,MAX(0,IFERROR(N(IF(ISNUMBER(Charges!Q35),MAX(0,Charges!Q35),IFERROR(VLOOKUP(Charges!Q35,Paramètres!$A$15:$B$18,2,FALSE),0))),0)),0)</f>
        <v>0</v>
      </c>
      <c r="Q35" t="n">
        <f>IF(13&lt;=Paramètres!$B$9,MAX(0,IFERROR(N(IF(ISNUMBER(Charges!R35),MAX(0,Charges!R35),IFERROR(VLOOKUP(Charges!R35,Paramètres!$A$15:$B$18,2,FALSE),0))),0)),0)</f>
        <v>0</v>
      </c>
      <c r="R35" t="n">
        <f>SUM(E35:Q35)</f>
        <v>0</v>
      </c>
      <c r="S35" t="n">
        <f>IF(IFERROR(VLOOKUP(A35,'Projets'!$A$8:$Z$67,7,FALSE),"")="Engager",1,0)</f>
        <v>0</v>
      </c>
      <c r="T35" t="n">
        <f>IF(OR(Charges!F35="",AND(ISNUMBER(Charges!F35),Charges!F35&gt;=0),Charges!F35="S",Charges!F35="M",Charges!F35="L",Charges!F35="XL"),0,1)+IF(OR(Charges!G35="",AND(ISNUMBER(Charges!G35),Charges!G35&gt;=0),Charges!G35="S",Charges!G35="M",Charges!G35="L",Charges!G35="XL"),0,1)+IF(OR(Charges!H35="",AND(ISNUMBER(Charges!H35),Charges!H35&gt;=0),Charges!H35="S",Charges!H35="M",Charges!H35="L",Charges!H35="XL"),0,1)+IF(OR(Charges!I35="",AND(ISNUMBER(Charges!I35),Charges!I35&gt;=0),Charges!I35="S",Charges!I35="M",Charges!I35="L",Charges!I35="XL"),0,1)+IF(OR(Charges!J35="",AND(ISNUMBER(Charges!J35),Charges!J35&gt;=0),Charges!J35="S",Charges!J35="M",Charges!J35="L",Charges!J35="XL"),0,1)+IF(OR(Charges!K35="",AND(ISNUMBER(Charges!K35),Charges!K35&gt;=0),Charges!K35="S",Charges!K35="M",Charges!K35="L",Charges!K35="XL"),0,1)+IF(OR(Charges!L35="",AND(ISNUMBER(Charges!L35),Charges!L35&gt;=0),Charges!L35="S",Charges!L35="M",Charges!L35="L",Charges!L35="XL"),0,1)+IF(OR(Charges!M35="",AND(ISNUMBER(Charges!M35),Charges!M35&gt;=0),Charges!M35="S",Charges!M35="M",Charges!M35="L",Charges!M35="XL"),0,1)+IF(OR(Charges!N35="",AND(ISNUMBER(Charges!N35),Charges!N35&gt;=0),Charges!N35="S",Charges!N35="M",Charges!N35="L",Charges!N35="XL"),0,1)+IF(OR(Charges!O35="",AND(ISNUMBER(Charges!O35),Charges!O35&gt;=0),Charges!O35="S",Charges!O35="M",Charges!O35="L",Charges!O35="XL"),0,1)+IF(OR(Charges!P35="",AND(ISNUMBER(Charges!P35),Charges!P35&gt;=0),Charges!P35="S",Charges!P35="M",Charges!P35="L",Charges!P35="XL"),0,1)+IF(OR(Charges!Q35="",AND(ISNUMBER(Charges!Q35),Charges!Q35&gt;=0),Charges!Q35="S",Charges!Q35="M",Charges!Q35="L",Charges!Q35="XL"),0,1)+IF(OR(Charges!R35="",AND(ISNUMBER(Charges!R35),Charges!R35&gt;=0),Charges!R35="S",Charges!R35="M",Charges!R35="L",Charges!R35="XL"),0,1)</f>
        <v>0</v>
      </c>
      <c r="U35" t="n">
        <f>IF(AND(1&gt;Paramètres!$B$9,Charges!F35&lt;&gt;"",Charges!F35&lt;&gt;0),1,0)+IF(AND(2&gt;Paramètres!$B$9,Charges!G35&lt;&gt;"",Charges!G35&lt;&gt;0),1,0)+IF(AND(3&gt;Paramètres!$B$9,Charges!H35&lt;&gt;"",Charges!H35&lt;&gt;0),1,0)+IF(AND(4&gt;Paramètres!$B$9,Charges!I35&lt;&gt;"",Charges!I35&lt;&gt;0),1,0)+IF(AND(5&gt;Paramètres!$B$9,Charges!J35&lt;&gt;"",Charges!J35&lt;&gt;0),1,0)+IF(AND(6&gt;Paramètres!$B$9,Charges!K35&lt;&gt;"",Charges!K35&lt;&gt;0),1,0)+IF(AND(7&gt;Paramètres!$B$9,Charges!L35&lt;&gt;"",Charges!L35&lt;&gt;0),1,0)+IF(AND(8&gt;Paramètres!$B$9,Charges!M35&lt;&gt;"",Charges!M35&lt;&gt;0),1,0)+IF(AND(9&gt;Paramètres!$B$9,Charges!N35&lt;&gt;"",Charges!N35&lt;&gt;0),1,0)+IF(AND(10&gt;Paramètres!$B$9,Charges!O35&lt;&gt;"",Charges!O35&lt;&gt;0),1,0)+IF(AND(11&gt;Paramètres!$B$9,Charges!P35&lt;&gt;"",Charges!P35&lt;&gt;0),1,0)+IF(AND(12&gt;Paramètres!$B$9,Charges!Q35&lt;&gt;"",Charges!Q35&lt;&gt;0),1,0)+IF(AND(13&gt;Paramètres!$B$9,Charges!R35&lt;&gt;"",Charges!R35&lt;&gt;0),1,0)</f>
        <v>0</v>
      </c>
      <c r="V35" t="n">
        <f>IF(IFERROR(VLOOKUP(A35,'Projets'!$A$8:$Z$67,5,FALSE),"")="Engager",1,0)</f>
        <v>0</v>
      </c>
      <c r="W35" t="n">
        <f>IF(IFERROR(VLOOKUP(A35,'Projets'!$A$8:$Z$67,6,FALSE),"")="Engager",1,0)</f>
        <v>0</v>
      </c>
      <c r="X35" t="n">
        <f>E35*S35</f>
        <v>0</v>
      </c>
      <c r="Y35" t="n">
        <f>F35*S35</f>
        <v>0</v>
      </c>
      <c r="Z35" t="n">
        <f>G35*S35</f>
        <v>0</v>
      </c>
      <c r="AA35" t="n">
        <f>H35*S35</f>
        <v>0</v>
      </c>
      <c r="AB35" t="n">
        <f>I35*S35</f>
        <v>0</v>
      </c>
      <c r="AC35" t="n">
        <f>J35*S35</f>
        <v>0</v>
      </c>
      <c r="AD35" t="n">
        <f>K35*S35</f>
        <v>0</v>
      </c>
      <c r="AE35" t="n">
        <f>L35*S35</f>
        <v>0</v>
      </c>
      <c r="AF35" t="n">
        <f>M35*S35</f>
        <v>0</v>
      </c>
      <c r="AG35" t="n">
        <f>N35*S35</f>
        <v>0</v>
      </c>
      <c r="AH35" t="n">
        <f>O35*S35</f>
        <v>0</v>
      </c>
      <c r="AI35" t="n">
        <f>P35*S35</f>
        <v>0</v>
      </c>
      <c r="AJ35" t="n">
        <f>Q35*S35</f>
        <v>0</v>
      </c>
      <c r="AK35" t="n">
        <f>E35*V35</f>
        <v>0</v>
      </c>
      <c r="AL35" t="n">
        <f>F35*V35</f>
        <v>0</v>
      </c>
      <c r="AM35" t="n">
        <f>G35*V35</f>
        <v>0</v>
      </c>
      <c r="AN35" t="n">
        <f>H35*V35</f>
        <v>0</v>
      </c>
      <c r="AO35" t="n">
        <f>I35*V35</f>
        <v>0</v>
      </c>
      <c r="AP35" t="n">
        <f>J35*V35</f>
        <v>0</v>
      </c>
      <c r="AQ35" t="n">
        <f>K35*V35</f>
        <v>0</v>
      </c>
      <c r="AR35" t="n">
        <f>L35*V35</f>
        <v>0</v>
      </c>
      <c r="AS35" t="n">
        <f>M35*V35</f>
        <v>0</v>
      </c>
      <c r="AT35" t="n">
        <f>N35*V35</f>
        <v>0</v>
      </c>
      <c r="AU35" t="n">
        <f>O35*V35</f>
        <v>0</v>
      </c>
      <c r="AV35" t="n">
        <f>P35*V35</f>
        <v>0</v>
      </c>
      <c r="AW35" t="n">
        <f>Q35*V35</f>
        <v>0</v>
      </c>
      <c r="AX35" t="n">
        <f>E35*W35</f>
        <v>0</v>
      </c>
      <c r="AY35" t="n">
        <f>F35*W35</f>
        <v>0</v>
      </c>
      <c r="AZ35" t="n">
        <f>G35*W35</f>
        <v>0</v>
      </c>
      <c r="BA35" t="n">
        <f>H35*W35</f>
        <v>0</v>
      </c>
      <c r="BB35" t="n">
        <f>I35*W35</f>
        <v>0</v>
      </c>
      <c r="BC35" t="n">
        <f>J35*W35</f>
        <v>0</v>
      </c>
      <c r="BD35" t="n">
        <f>K35*W35</f>
        <v>0</v>
      </c>
      <c r="BE35" t="n">
        <f>L35*W35</f>
        <v>0</v>
      </c>
      <c r="BF35" t="n">
        <f>M35*W35</f>
        <v>0</v>
      </c>
      <c r="BG35" t="n">
        <f>N35*W35</f>
        <v>0</v>
      </c>
      <c r="BH35" t="n">
        <f>O35*W35</f>
        <v>0</v>
      </c>
      <c r="BI35" t="n">
        <f>P35*W35</f>
        <v>0</v>
      </c>
      <c r="BJ35" t="n">
        <f>Q35*W35</f>
        <v>0</v>
      </c>
      <c r="BM35" t="n">
        <f>IF(OR(Personnes!$A35="",1&gt;Paramètres!$B$9),0,MAX(0,SUMIF($B$8:$B$247,Personnes!$A35,$E$8:$E$247)-'Planning par personne'!C35))</f>
        <v>0</v>
      </c>
      <c r="BN35" t="n">
        <f>IF(OR(Personnes!$A35="",2&gt;Paramètres!$B$9),0,MAX(0,SUMIF($B$8:$B$247,Personnes!$A35,$F$8:$F$247)-'Planning par personne'!D35))</f>
        <v>0</v>
      </c>
      <c r="BO35" t="n">
        <f>IF(OR(Personnes!$A35="",3&gt;Paramètres!$B$9),0,MAX(0,SUMIF($B$8:$B$247,Personnes!$A35,$G$8:$G$247)-'Planning par personne'!E35))</f>
        <v>0</v>
      </c>
      <c r="BP35" t="n">
        <f>IF(OR(Personnes!$A35="",4&gt;Paramètres!$B$9),0,MAX(0,SUMIF($B$8:$B$247,Personnes!$A35,$H$8:$H$247)-'Planning par personne'!F35))</f>
        <v>0</v>
      </c>
      <c r="BQ35" t="n">
        <f>IF(OR(Personnes!$A35="",5&gt;Paramètres!$B$9),0,MAX(0,SUMIF($B$8:$B$247,Personnes!$A35,$I$8:$I$247)-'Planning par personne'!G35))</f>
        <v>0</v>
      </c>
      <c r="BR35" t="n">
        <f>IF(OR(Personnes!$A35="",6&gt;Paramètres!$B$9),0,MAX(0,SUMIF($B$8:$B$247,Personnes!$A35,$J$8:$J$247)-'Planning par personne'!H35))</f>
        <v>0</v>
      </c>
      <c r="BS35" t="n">
        <f>IF(OR(Personnes!$A35="",7&gt;Paramètres!$B$9),0,MAX(0,SUMIF($B$8:$B$247,Personnes!$A35,$K$8:$K$247)-'Planning par personne'!I35))</f>
        <v>0</v>
      </c>
      <c r="BT35" t="n">
        <f>IF(OR(Personnes!$A35="",8&gt;Paramètres!$B$9),0,MAX(0,SUMIF($B$8:$B$247,Personnes!$A35,$L$8:$L$247)-'Planning par personne'!J35))</f>
        <v>0</v>
      </c>
      <c r="BU35" t="n">
        <f>IF(OR(Personnes!$A35="",9&gt;Paramètres!$B$9),0,MAX(0,SUMIF($B$8:$B$247,Personnes!$A35,$M$8:$M$247)-'Planning par personne'!K35))</f>
        <v>0</v>
      </c>
      <c r="BV35" t="n">
        <f>IF(OR(Personnes!$A35="",10&gt;Paramètres!$B$9),0,MAX(0,SUMIF($B$8:$B$247,Personnes!$A35,$N$8:$N$247)-'Planning par personne'!L35))</f>
        <v>0</v>
      </c>
      <c r="BW35" t="n">
        <f>IF(OR(Personnes!$A35="",11&gt;Paramètres!$B$9),0,MAX(0,SUMIF($B$8:$B$247,Personnes!$A35,$O$8:$O$247)-'Planning par personne'!M35))</f>
        <v>0</v>
      </c>
      <c r="BX35" t="n">
        <f>IF(OR(Personnes!$A35="",12&gt;Paramètres!$B$9),0,MAX(0,SUMIF($B$8:$B$247,Personnes!$A35,$P$8:$P$247)-'Planning par personne'!N35))</f>
        <v>0</v>
      </c>
      <c r="BY35" t="n">
        <f>IF(OR(Personnes!$A35="",13&gt;Paramètres!$B$9),0,MAX(0,SUMIF($B$8:$B$247,Personnes!$A35,$Q$8:$Q$247)-'Planning par personne'!O35))</f>
        <v>0</v>
      </c>
      <c r="BZ35" t="n">
        <f>IF(OR(Personnes!$A35="",1&gt;Paramètres!$B$9),0,MAX(0,SUMIF($B$8:$B$247,Personnes!$A35,$AK$8:$AK$247)-'Planning par personne'!C35))</f>
        <v>0</v>
      </c>
      <c r="CA35" t="n">
        <f>IF(OR(Personnes!$A35="",2&gt;Paramètres!$B$9),0,MAX(0,SUMIF($B$8:$B$247,Personnes!$A35,$AL$8:$AL$247)-'Planning par personne'!D35))</f>
        <v>0</v>
      </c>
      <c r="CB35" t="n">
        <f>IF(OR(Personnes!$A35="",3&gt;Paramètres!$B$9),0,MAX(0,SUMIF($B$8:$B$247,Personnes!$A35,$AM$8:$AM$247)-'Planning par personne'!E35))</f>
        <v>0</v>
      </c>
      <c r="CC35" t="n">
        <f>IF(OR(Personnes!$A35="",4&gt;Paramètres!$B$9),0,MAX(0,SUMIF($B$8:$B$247,Personnes!$A35,$AN$8:$AN$247)-'Planning par personne'!F35))</f>
        <v>0</v>
      </c>
      <c r="CD35" t="n">
        <f>IF(OR(Personnes!$A35="",5&gt;Paramètres!$B$9),0,MAX(0,SUMIF($B$8:$B$247,Personnes!$A35,$AO$8:$AO$247)-'Planning par personne'!G35))</f>
        <v>0</v>
      </c>
      <c r="CE35" t="n">
        <f>IF(OR(Personnes!$A35="",6&gt;Paramètres!$B$9),0,MAX(0,SUMIF($B$8:$B$247,Personnes!$A35,$AP$8:$AP$247)-'Planning par personne'!H35))</f>
        <v>0</v>
      </c>
      <c r="CF35" t="n">
        <f>IF(OR(Personnes!$A35="",7&gt;Paramètres!$B$9),0,MAX(0,SUMIF($B$8:$B$247,Personnes!$A35,$AQ$8:$AQ$247)-'Planning par personne'!I35))</f>
        <v>0</v>
      </c>
      <c r="CG35" t="n">
        <f>IF(OR(Personnes!$A35="",8&gt;Paramètres!$B$9),0,MAX(0,SUMIF($B$8:$B$247,Personnes!$A35,$AR$8:$AR$247)-'Planning par personne'!J35))</f>
        <v>0</v>
      </c>
      <c r="CH35" t="n">
        <f>IF(OR(Personnes!$A35="",9&gt;Paramètres!$B$9),0,MAX(0,SUMIF($B$8:$B$247,Personnes!$A35,$AS$8:$AS$247)-'Planning par personne'!K35))</f>
        <v>0</v>
      </c>
      <c r="CI35" t="n">
        <f>IF(OR(Personnes!$A35="",10&gt;Paramètres!$B$9),0,MAX(0,SUMIF($B$8:$B$247,Personnes!$A35,$AT$8:$AT$247)-'Planning par personne'!L35))</f>
        <v>0</v>
      </c>
      <c r="CJ35" t="n">
        <f>IF(OR(Personnes!$A35="",11&gt;Paramètres!$B$9),0,MAX(0,SUMIF($B$8:$B$247,Personnes!$A35,$AU$8:$AU$247)-'Planning par personne'!M35))</f>
        <v>0</v>
      </c>
      <c r="CK35" t="n">
        <f>IF(OR(Personnes!$A35="",12&gt;Paramètres!$B$9),0,MAX(0,SUMIF($B$8:$B$247,Personnes!$A35,$AV$8:$AV$247)-'Planning par personne'!N35))</f>
        <v>0</v>
      </c>
      <c r="CL35" t="n">
        <f>IF(OR(Personnes!$A35="",13&gt;Paramètres!$B$9),0,MAX(0,SUMIF($B$8:$B$247,Personnes!$A35,$AW$8:$AW$247)-'Planning par personne'!O35))</f>
        <v>0</v>
      </c>
      <c r="CM35" t="n">
        <f>IF(OR(Personnes!$A35="",1&gt;Paramètres!$B$9),0,MAX(0,SUMIF($B$8:$B$247,Personnes!$A35,$AX$8:$AX$247)-'Planning par personne'!C35))</f>
        <v>0</v>
      </c>
      <c r="CN35" t="n">
        <f>IF(OR(Personnes!$A35="",2&gt;Paramètres!$B$9),0,MAX(0,SUMIF($B$8:$B$247,Personnes!$A35,$AY$8:$AY$247)-'Planning par personne'!D35))</f>
        <v>0</v>
      </c>
      <c r="CO35" t="n">
        <f>IF(OR(Personnes!$A35="",3&gt;Paramètres!$B$9),0,MAX(0,SUMIF($B$8:$B$247,Personnes!$A35,$AZ$8:$AZ$247)-'Planning par personne'!E35))</f>
        <v>0</v>
      </c>
      <c r="CP35" t="n">
        <f>IF(OR(Personnes!$A35="",4&gt;Paramètres!$B$9),0,MAX(0,SUMIF($B$8:$B$247,Personnes!$A35,$BA$8:$BA$247)-'Planning par personne'!F35))</f>
        <v>0</v>
      </c>
      <c r="CQ35" t="n">
        <f>IF(OR(Personnes!$A35="",5&gt;Paramètres!$B$9),0,MAX(0,SUMIF($B$8:$B$247,Personnes!$A35,$BB$8:$BB$247)-'Planning par personne'!G35))</f>
        <v>0</v>
      </c>
      <c r="CR35" t="n">
        <f>IF(OR(Personnes!$A35="",6&gt;Paramètres!$B$9),0,MAX(0,SUMIF($B$8:$B$247,Personnes!$A35,$BC$8:$BC$247)-'Planning par personne'!H35))</f>
        <v>0</v>
      </c>
      <c r="CS35" t="n">
        <f>IF(OR(Personnes!$A35="",7&gt;Paramètres!$B$9),0,MAX(0,SUMIF($B$8:$B$247,Personnes!$A35,$BD$8:$BD$247)-'Planning par personne'!I35))</f>
        <v>0</v>
      </c>
      <c r="CT35" t="n">
        <f>IF(OR(Personnes!$A35="",8&gt;Paramètres!$B$9),0,MAX(0,SUMIF($B$8:$B$247,Personnes!$A35,$BE$8:$BE$247)-'Planning par personne'!J35))</f>
        <v>0</v>
      </c>
      <c r="CU35" t="n">
        <f>IF(OR(Personnes!$A35="",9&gt;Paramètres!$B$9),0,MAX(0,SUMIF($B$8:$B$247,Personnes!$A35,$BF$8:$BF$247)-'Planning par personne'!K35))</f>
        <v>0</v>
      </c>
      <c r="CV35" t="n">
        <f>IF(OR(Personnes!$A35="",10&gt;Paramètres!$B$9),0,MAX(0,SUMIF($B$8:$B$247,Personnes!$A35,$BG$8:$BG$247)-'Planning par personne'!L35))</f>
        <v>0</v>
      </c>
      <c r="CW35" t="n">
        <f>IF(OR(Personnes!$A35="",11&gt;Paramètres!$B$9),0,MAX(0,SUMIF($B$8:$B$247,Personnes!$A35,$BH$8:$BH$247)-'Planning par personne'!M35))</f>
        <v>0</v>
      </c>
      <c r="CX35" t="n">
        <f>IF(OR(Personnes!$A35="",12&gt;Paramètres!$B$9),0,MAX(0,SUMIF($B$8:$B$247,Personnes!$A35,$BI$8:$BI$247)-'Planning par personne'!N35))</f>
        <v>0</v>
      </c>
      <c r="CY35" t="n">
        <f>IF(OR(Personnes!$A35="",13&gt;Paramètres!$B$9),0,MAX(0,SUMIF($B$8:$B$247,Personnes!$A35,$BJ$8:$BJ$247)-'Planning par personne'!O35))</f>
        <v>0</v>
      </c>
      <c r="DJ35" t="n">
        <f>SUM(BM35:BY35)</f>
        <v>0</v>
      </c>
      <c r="DK35" t="n">
        <f>SUM(BZ35:CL35)</f>
        <v>0</v>
      </c>
      <c r="DL35" t="n">
        <f>SUM(CM35:CY35)</f>
        <v>0</v>
      </c>
      <c r="DM35" t="str">
        <f>IF(AND(Projets!A35&lt;&gt;"",Projets!G35="Engager"),DM34&amp;IF(DM34="","",", ")&amp;Projets!B35,DM34)</f>
        <v/>
      </c>
      <c r="DN35" t="str">
        <f>IF(AND(Projets!A35&lt;&gt;"",Projets!G35="Reporter"),DN34&amp;IF(DN34="","",", ")&amp;Projets!B35,DN34)</f>
        <v/>
      </c>
    </row>
    <row r="36">
      <c r="A36" t="n">
        <f>Charges!A36</f>
        <v>0</v>
      </c>
      <c r="B36" t="n">
        <f>Charges!C36</f>
        <v>0</v>
      </c>
      <c r="C36" t="str">
        <f>Charges!D36</f>
        <v/>
      </c>
      <c r="E36" t="n">
        <f>IF(1&lt;=Paramètres!$B$9,MAX(0,IFERROR(N(IF(ISNUMBER(Charges!F36),MAX(0,Charges!F36),IFERROR(VLOOKUP(Charges!F36,Paramètres!$A$15:$B$18,2,FALSE),0))),0)),0)</f>
        <v>0</v>
      </c>
      <c r="F36" t="n">
        <f>IF(2&lt;=Paramètres!$B$9,MAX(0,IFERROR(N(IF(ISNUMBER(Charges!G36),MAX(0,Charges!G36),IFERROR(VLOOKUP(Charges!G36,Paramètres!$A$15:$B$18,2,FALSE),0))),0)),0)</f>
        <v>0</v>
      </c>
      <c r="G36" t="n">
        <f>IF(3&lt;=Paramètres!$B$9,MAX(0,IFERROR(N(IF(ISNUMBER(Charges!H36),MAX(0,Charges!H36),IFERROR(VLOOKUP(Charges!H36,Paramètres!$A$15:$B$18,2,FALSE),0))),0)),0)</f>
        <v>0</v>
      </c>
      <c r="H36" t="n">
        <f>IF(4&lt;=Paramètres!$B$9,MAX(0,IFERROR(N(IF(ISNUMBER(Charges!I36),MAX(0,Charges!I36),IFERROR(VLOOKUP(Charges!I36,Paramètres!$A$15:$B$18,2,FALSE),0))),0)),0)</f>
        <v>0</v>
      </c>
      <c r="I36" t="n">
        <f>IF(5&lt;=Paramètres!$B$9,MAX(0,IFERROR(N(IF(ISNUMBER(Charges!J36),MAX(0,Charges!J36),IFERROR(VLOOKUP(Charges!J36,Paramètres!$A$15:$B$18,2,FALSE),0))),0)),0)</f>
        <v>0</v>
      </c>
      <c r="J36" t="n">
        <f>IF(6&lt;=Paramètres!$B$9,MAX(0,IFERROR(N(IF(ISNUMBER(Charges!K36),MAX(0,Charges!K36),IFERROR(VLOOKUP(Charges!K36,Paramètres!$A$15:$B$18,2,FALSE),0))),0)),0)</f>
        <v>0</v>
      </c>
      <c r="K36" t="n">
        <f>IF(7&lt;=Paramètres!$B$9,MAX(0,IFERROR(N(IF(ISNUMBER(Charges!L36),MAX(0,Charges!L36),IFERROR(VLOOKUP(Charges!L36,Paramètres!$A$15:$B$18,2,FALSE),0))),0)),0)</f>
        <v>0</v>
      </c>
      <c r="L36" t="n">
        <f>IF(8&lt;=Paramètres!$B$9,MAX(0,IFERROR(N(IF(ISNUMBER(Charges!M36),MAX(0,Charges!M36),IFERROR(VLOOKUP(Charges!M36,Paramètres!$A$15:$B$18,2,FALSE),0))),0)),0)</f>
        <v>0</v>
      </c>
      <c r="M36" t="n">
        <f>IF(9&lt;=Paramètres!$B$9,MAX(0,IFERROR(N(IF(ISNUMBER(Charges!N36),MAX(0,Charges!N36),IFERROR(VLOOKUP(Charges!N36,Paramètres!$A$15:$B$18,2,FALSE),0))),0)),0)</f>
        <v>0</v>
      </c>
      <c r="N36" t="n">
        <f>IF(10&lt;=Paramètres!$B$9,MAX(0,IFERROR(N(IF(ISNUMBER(Charges!O36),MAX(0,Charges!O36),IFERROR(VLOOKUP(Charges!O36,Paramètres!$A$15:$B$18,2,FALSE),0))),0)),0)</f>
        <v>0</v>
      </c>
      <c r="O36" t="n">
        <f>IF(11&lt;=Paramètres!$B$9,MAX(0,IFERROR(N(IF(ISNUMBER(Charges!P36),MAX(0,Charges!P36),IFERROR(VLOOKUP(Charges!P36,Paramètres!$A$15:$B$18,2,FALSE),0))),0)),0)</f>
        <v>0</v>
      </c>
      <c r="P36" t="n">
        <f>IF(12&lt;=Paramètres!$B$9,MAX(0,IFERROR(N(IF(ISNUMBER(Charges!Q36),MAX(0,Charges!Q36),IFERROR(VLOOKUP(Charges!Q36,Paramètres!$A$15:$B$18,2,FALSE),0))),0)),0)</f>
        <v>0</v>
      </c>
      <c r="Q36" t="n">
        <f>IF(13&lt;=Paramètres!$B$9,MAX(0,IFERROR(N(IF(ISNUMBER(Charges!R36),MAX(0,Charges!R36),IFERROR(VLOOKUP(Charges!R36,Paramètres!$A$15:$B$18,2,FALSE),0))),0)),0)</f>
        <v>0</v>
      </c>
      <c r="R36" t="n">
        <f>SUM(E36:Q36)</f>
        <v>0</v>
      </c>
      <c r="S36" t="n">
        <f>IF(IFERROR(VLOOKUP(A36,'Projets'!$A$8:$Z$67,7,FALSE),"")="Engager",1,0)</f>
        <v>0</v>
      </c>
      <c r="T36" t="n">
        <f>IF(OR(Charges!F36="",AND(ISNUMBER(Charges!F36),Charges!F36&gt;=0),Charges!F36="S",Charges!F36="M",Charges!F36="L",Charges!F36="XL"),0,1)+IF(OR(Charges!G36="",AND(ISNUMBER(Charges!G36),Charges!G36&gt;=0),Charges!G36="S",Charges!G36="M",Charges!G36="L",Charges!G36="XL"),0,1)+IF(OR(Charges!H36="",AND(ISNUMBER(Charges!H36),Charges!H36&gt;=0),Charges!H36="S",Charges!H36="M",Charges!H36="L",Charges!H36="XL"),0,1)+IF(OR(Charges!I36="",AND(ISNUMBER(Charges!I36),Charges!I36&gt;=0),Charges!I36="S",Charges!I36="M",Charges!I36="L",Charges!I36="XL"),0,1)+IF(OR(Charges!J36="",AND(ISNUMBER(Charges!J36),Charges!J36&gt;=0),Charges!J36="S",Charges!J36="M",Charges!J36="L",Charges!J36="XL"),0,1)+IF(OR(Charges!K36="",AND(ISNUMBER(Charges!K36),Charges!K36&gt;=0),Charges!K36="S",Charges!K36="M",Charges!K36="L",Charges!K36="XL"),0,1)+IF(OR(Charges!L36="",AND(ISNUMBER(Charges!L36),Charges!L36&gt;=0),Charges!L36="S",Charges!L36="M",Charges!L36="L",Charges!L36="XL"),0,1)+IF(OR(Charges!M36="",AND(ISNUMBER(Charges!M36),Charges!M36&gt;=0),Charges!M36="S",Charges!M36="M",Charges!M36="L",Charges!M36="XL"),0,1)+IF(OR(Charges!N36="",AND(ISNUMBER(Charges!N36),Charges!N36&gt;=0),Charges!N36="S",Charges!N36="M",Charges!N36="L",Charges!N36="XL"),0,1)+IF(OR(Charges!O36="",AND(ISNUMBER(Charges!O36),Charges!O36&gt;=0),Charges!O36="S",Charges!O36="M",Charges!O36="L",Charges!O36="XL"),0,1)+IF(OR(Charges!P36="",AND(ISNUMBER(Charges!P36),Charges!P36&gt;=0),Charges!P36="S",Charges!P36="M",Charges!P36="L",Charges!P36="XL"),0,1)+IF(OR(Charges!Q36="",AND(ISNUMBER(Charges!Q36),Charges!Q36&gt;=0),Charges!Q36="S",Charges!Q36="M",Charges!Q36="L",Charges!Q36="XL"),0,1)+IF(OR(Charges!R36="",AND(ISNUMBER(Charges!R36),Charges!R36&gt;=0),Charges!R36="S",Charges!R36="M",Charges!R36="L",Charges!R36="XL"),0,1)</f>
        <v>0</v>
      </c>
      <c r="U36" t="n">
        <f>IF(AND(1&gt;Paramètres!$B$9,Charges!F36&lt;&gt;"",Charges!F36&lt;&gt;0),1,0)+IF(AND(2&gt;Paramètres!$B$9,Charges!G36&lt;&gt;"",Charges!G36&lt;&gt;0),1,0)+IF(AND(3&gt;Paramètres!$B$9,Charges!H36&lt;&gt;"",Charges!H36&lt;&gt;0),1,0)+IF(AND(4&gt;Paramètres!$B$9,Charges!I36&lt;&gt;"",Charges!I36&lt;&gt;0),1,0)+IF(AND(5&gt;Paramètres!$B$9,Charges!J36&lt;&gt;"",Charges!J36&lt;&gt;0),1,0)+IF(AND(6&gt;Paramètres!$B$9,Charges!K36&lt;&gt;"",Charges!K36&lt;&gt;0),1,0)+IF(AND(7&gt;Paramètres!$B$9,Charges!L36&lt;&gt;"",Charges!L36&lt;&gt;0),1,0)+IF(AND(8&gt;Paramètres!$B$9,Charges!M36&lt;&gt;"",Charges!M36&lt;&gt;0),1,0)+IF(AND(9&gt;Paramètres!$B$9,Charges!N36&lt;&gt;"",Charges!N36&lt;&gt;0),1,0)+IF(AND(10&gt;Paramètres!$B$9,Charges!O36&lt;&gt;"",Charges!O36&lt;&gt;0),1,0)+IF(AND(11&gt;Paramètres!$B$9,Charges!P36&lt;&gt;"",Charges!P36&lt;&gt;0),1,0)+IF(AND(12&gt;Paramètres!$B$9,Charges!Q36&lt;&gt;"",Charges!Q36&lt;&gt;0),1,0)+IF(AND(13&gt;Paramètres!$B$9,Charges!R36&lt;&gt;"",Charges!R36&lt;&gt;0),1,0)</f>
        <v>0</v>
      </c>
      <c r="V36" t="n">
        <f>IF(IFERROR(VLOOKUP(A36,'Projets'!$A$8:$Z$67,5,FALSE),"")="Engager",1,0)</f>
        <v>0</v>
      </c>
      <c r="W36" t="n">
        <f>IF(IFERROR(VLOOKUP(A36,'Projets'!$A$8:$Z$67,6,FALSE),"")="Engager",1,0)</f>
        <v>0</v>
      </c>
      <c r="X36" t="n">
        <f>E36*S36</f>
        <v>0</v>
      </c>
      <c r="Y36" t="n">
        <f>F36*S36</f>
        <v>0</v>
      </c>
      <c r="Z36" t="n">
        <f>G36*S36</f>
        <v>0</v>
      </c>
      <c r="AA36" t="n">
        <f>H36*S36</f>
        <v>0</v>
      </c>
      <c r="AB36" t="n">
        <f>I36*S36</f>
        <v>0</v>
      </c>
      <c r="AC36" t="n">
        <f>J36*S36</f>
        <v>0</v>
      </c>
      <c r="AD36" t="n">
        <f>K36*S36</f>
        <v>0</v>
      </c>
      <c r="AE36" t="n">
        <f>L36*S36</f>
        <v>0</v>
      </c>
      <c r="AF36" t="n">
        <f>M36*S36</f>
        <v>0</v>
      </c>
      <c r="AG36" t="n">
        <f>N36*S36</f>
        <v>0</v>
      </c>
      <c r="AH36" t="n">
        <f>O36*S36</f>
        <v>0</v>
      </c>
      <c r="AI36" t="n">
        <f>P36*S36</f>
        <v>0</v>
      </c>
      <c r="AJ36" t="n">
        <f>Q36*S36</f>
        <v>0</v>
      </c>
      <c r="AK36" t="n">
        <f>E36*V36</f>
        <v>0</v>
      </c>
      <c r="AL36" t="n">
        <f>F36*V36</f>
        <v>0</v>
      </c>
      <c r="AM36" t="n">
        <f>G36*V36</f>
        <v>0</v>
      </c>
      <c r="AN36" t="n">
        <f>H36*V36</f>
        <v>0</v>
      </c>
      <c r="AO36" t="n">
        <f>I36*V36</f>
        <v>0</v>
      </c>
      <c r="AP36" t="n">
        <f>J36*V36</f>
        <v>0</v>
      </c>
      <c r="AQ36" t="n">
        <f>K36*V36</f>
        <v>0</v>
      </c>
      <c r="AR36" t="n">
        <f>L36*V36</f>
        <v>0</v>
      </c>
      <c r="AS36" t="n">
        <f>M36*V36</f>
        <v>0</v>
      </c>
      <c r="AT36" t="n">
        <f>N36*V36</f>
        <v>0</v>
      </c>
      <c r="AU36" t="n">
        <f>O36*V36</f>
        <v>0</v>
      </c>
      <c r="AV36" t="n">
        <f>P36*V36</f>
        <v>0</v>
      </c>
      <c r="AW36" t="n">
        <f>Q36*V36</f>
        <v>0</v>
      </c>
      <c r="AX36" t="n">
        <f>E36*W36</f>
        <v>0</v>
      </c>
      <c r="AY36" t="n">
        <f>F36*W36</f>
        <v>0</v>
      </c>
      <c r="AZ36" t="n">
        <f>G36*W36</f>
        <v>0</v>
      </c>
      <c r="BA36" t="n">
        <f>H36*W36</f>
        <v>0</v>
      </c>
      <c r="BB36" t="n">
        <f>I36*W36</f>
        <v>0</v>
      </c>
      <c r="BC36" t="n">
        <f>J36*W36</f>
        <v>0</v>
      </c>
      <c r="BD36" t="n">
        <f>K36*W36</f>
        <v>0</v>
      </c>
      <c r="BE36" t="n">
        <f>L36*W36</f>
        <v>0</v>
      </c>
      <c r="BF36" t="n">
        <f>M36*W36</f>
        <v>0</v>
      </c>
      <c r="BG36" t="n">
        <f>N36*W36</f>
        <v>0</v>
      </c>
      <c r="BH36" t="n">
        <f>O36*W36</f>
        <v>0</v>
      </c>
      <c r="BI36" t="n">
        <f>P36*W36</f>
        <v>0</v>
      </c>
      <c r="BJ36" t="n">
        <f>Q36*W36</f>
        <v>0</v>
      </c>
      <c r="BM36" t="n">
        <f>IF(OR(Personnes!$A36="",1&gt;Paramètres!$B$9),0,MAX(0,SUMIF($B$8:$B$247,Personnes!$A36,$E$8:$E$247)-'Planning par personne'!C36))</f>
        <v>0</v>
      </c>
      <c r="BN36" t="n">
        <f>IF(OR(Personnes!$A36="",2&gt;Paramètres!$B$9),0,MAX(0,SUMIF($B$8:$B$247,Personnes!$A36,$F$8:$F$247)-'Planning par personne'!D36))</f>
        <v>0</v>
      </c>
      <c r="BO36" t="n">
        <f>IF(OR(Personnes!$A36="",3&gt;Paramètres!$B$9),0,MAX(0,SUMIF($B$8:$B$247,Personnes!$A36,$G$8:$G$247)-'Planning par personne'!E36))</f>
        <v>0</v>
      </c>
      <c r="BP36" t="n">
        <f>IF(OR(Personnes!$A36="",4&gt;Paramètres!$B$9),0,MAX(0,SUMIF($B$8:$B$247,Personnes!$A36,$H$8:$H$247)-'Planning par personne'!F36))</f>
        <v>0</v>
      </c>
      <c r="BQ36" t="n">
        <f>IF(OR(Personnes!$A36="",5&gt;Paramètres!$B$9),0,MAX(0,SUMIF($B$8:$B$247,Personnes!$A36,$I$8:$I$247)-'Planning par personne'!G36))</f>
        <v>0</v>
      </c>
      <c r="BR36" t="n">
        <f>IF(OR(Personnes!$A36="",6&gt;Paramètres!$B$9),0,MAX(0,SUMIF($B$8:$B$247,Personnes!$A36,$J$8:$J$247)-'Planning par personne'!H36))</f>
        <v>0</v>
      </c>
      <c r="BS36" t="n">
        <f>IF(OR(Personnes!$A36="",7&gt;Paramètres!$B$9),0,MAX(0,SUMIF($B$8:$B$247,Personnes!$A36,$K$8:$K$247)-'Planning par personne'!I36))</f>
        <v>0</v>
      </c>
      <c r="BT36" t="n">
        <f>IF(OR(Personnes!$A36="",8&gt;Paramètres!$B$9),0,MAX(0,SUMIF($B$8:$B$247,Personnes!$A36,$L$8:$L$247)-'Planning par personne'!J36))</f>
        <v>0</v>
      </c>
      <c r="BU36" t="n">
        <f>IF(OR(Personnes!$A36="",9&gt;Paramètres!$B$9),0,MAX(0,SUMIF($B$8:$B$247,Personnes!$A36,$M$8:$M$247)-'Planning par personne'!K36))</f>
        <v>0</v>
      </c>
      <c r="BV36" t="n">
        <f>IF(OR(Personnes!$A36="",10&gt;Paramètres!$B$9),0,MAX(0,SUMIF($B$8:$B$247,Personnes!$A36,$N$8:$N$247)-'Planning par personne'!L36))</f>
        <v>0</v>
      </c>
      <c r="BW36" t="n">
        <f>IF(OR(Personnes!$A36="",11&gt;Paramètres!$B$9),0,MAX(0,SUMIF($B$8:$B$247,Personnes!$A36,$O$8:$O$247)-'Planning par personne'!M36))</f>
        <v>0</v>
      </c>
      <c r="BX36" t="n">
        <f>IF(OR(Personnes!$A36="",12&gt;Paramètres!$B$9),0,MAX(0,SUMIF($B$8:$B$247,Personnes!$A36,$P$8:$P$247)-'Planning par personne'!N36))</f>
        <v>0</v>
      </c>
      <c r="BY36" t="n">
        <f>IF(OR(Personnes!$A36="",13&gt;Paramètres!$B$9),0,MAX(0,SUMIF($B$8:$B$247,Personnes!$A36,$Q$8:$Q$247)-'Planning par personne'!O36))</f>
        <v>0</v>
      </c>
      <c r="BZ36" t="n">
        <f>IF(OR(Personnes!$A36="",1&gt;Paramètres!$B$9),0,MAX(0,SUMIF($B$8:$B$247,Personnes!$A36,$AK$8:$AK$247)-'Planning par personne'!C36))</f>
        <v>0</v>
      </c>
      <c r="CA36" t="n">
        <f>IF(OR(Personnes!$A36="",2&gt;Paramètres!$B$9),0,MAX(0,SUMIF($B$8:$B$247,Personnes!$A36,$AL$8:$AL$247)-'Planning par personne'!D36))</f>
        <v>0</v>
      </c>
      <c r="CB36" t="n">
        <f>IF(OR(Personnes!$A36="",3&gt;Paramètres!$B$9),0,MAX(0,SUMIF($B$8:$B$247,Personnes!$A36,$AM$8:$AM$247)-'Planning par personne'!E36))</f>
        <v>0</v>
      </c>
      <c r="CC36" t="n">
        <f>IF(OR(Personnes!$A36="",4&gt;Paramètres!$B$9),0,MAX(0,SUMIF($B$8:$B$247,Personnes!$A36,$AN$8:$AN$247)-'Planning par personne'!F36))</f>
        <v>0</v>
      </c>
      <c r="CD36" t="n">
        <f>IF(OR(Personnes!$A36="",5&gt;Paramètres!$B$9),0,MAX(0,SUMIF($B$8:$B$247,Personnes!$A36,$AO$8:$AO$247)-'Planning par personne'!G36))</f>
        <v>0</v>
      </c>
      <c r="CE36" t="n">
        <f>IF(OR(Personnes!$A36="",6&gt;Paramètres!$B$9),0,MAX(0,SUMIF($B$8:$B$247,Personnes!$A36,$AP$8:$AP$247)-'Planning par personne'!H36))</f>
        <v>0</v>
      </c>
      <c r="CF36" t="n">
        <f>IF(OR(Personnes!$A36="",7&gt;Paramètres!$B$9),0,MAX(0,SUMIF($B$8:$B$247,Personnes!$A36,$AQ$8:$AQ$247)-'Planning par personne'!I36))</f>
        <v>0</v>
      </c>
      <c r="CG36" t="n">
        <f>IF(OR(Personnes!$A36="",8&gt;Paramètres!$B$9),0,MAX(0,SUMIF($B$8:$B$247,Personnes!$A36,$AR$8:$AR$247)-'Planning par personne'!J36))</f>
        <v>0</v>
      </c>
      <c r="CH36" t="n">
        <f>IF(OR(Personnes!$A36="",9&gt;Paramètres!$B$9),0,MAX(0,SUMIF($B$8:$B$247,Personnes!$A36,$AS$8:$AS$247)-'Planning par personne'!K36))</f>
        <v>0</v>
      </c>
      <c r="CI36" t="n">
        <f>IF(OR(Personnes!$A36="",10&gt;Paramètres!$B$9),0,MAX(0,SUMIF($B$8:$B$247,Personnes!$A36,$AT$8:$AT$247)-'Planning par personne'!L36))</f>
        <v>0</v>
      </c>
      <c r="CJ36" t="n">
        <f>IF(OR(Personnes!$A36="",11&gt;Paramètres!$B$9),0,MAX(0,SUMIF($B$8:$B$247,Personnes!$A36,$AU$8:$AU$247)-'Planning par personne'!M36))</f>
        <v>0</v>
      </c>
      <c r="CK36" t="n">
        <f>IF(OR(Personnes!$A36="",12&gt;Paramètres!$B$9),0,MAX(0,SUMIF($B$8:$B$247,Personnes!$A36,$AV$8:$AV$247)-'Planning par personne'!N36))</f>
        <v>0</v>
      </c>
      <c r="CL36" t="n">
        <f>IF(OR(Personnes!$A36="",13&gt;Paramètres!$B$9),0,MAX(0,SUMIF($B$8:$B$247,Personnes!$A36,$AW$8:$AW$247)-'Planning par personne'!O36))</f>
        <v>0</v>
      </c>
      <c r="CM36" t="n">
        <f>IF(OR(Personnes!$A36="",1&gt;Paramètres!$B$9),0,MAX(0,SUMIF($B$8:$B$247,Personnes!$A36,$AX$8:$AX$247)-'Planning par personne'!C36))</f>
        <v>0</v>
      </c>
      <c r="CN36" t="n">
        <f>IF(OR(Personnes!$A36="",2&gt;Paramètres!$B$9),0,MAX(0,SUMIF($B$8:$B$247,Personnes!$A36,$AY$8:$AY$247)-'Planning par personne'!D36))</f>
        <v>0</v>
      </c>
      <c r="CO36" t="n">
        <f>IF(OR(Personnes!$A36="",3&gt;Paramètres!$B$9),0,MAX(0,SUMIF($B$8:$B$247,Personnes!$A36,$AZ$8:$AZ$247)-'Planning par personne'!E36))</f>
        <v>0</v>
      </c>
      <c r="CP36" t="n">
        <f>IF(OR(Personnes!$A36="",4&gt;Paramètres!$B$9),0,MAX(0,SUMIF($B$8:$B$247,Personnes!$A36,$BA$8:$BA$247)-'Planning par personne'!F36))</f>
        <v>0</v>
      </c>
      <c r="CQ36" t="n">
        <f>IF(OR(Personnes!$A36="",5&gt;Paramètres!$B$9),0,MAX(0,SUMIF($B$8:$B$247,Personnes!$A36,$BB$8:$BB$247)-'Planning par personne'!G36))</f>
        <v>0</v>
      </c>
      <c r="CR36" t="n">
        <f>IF(OR(Personnes!$A36="",6&gt;Paramètres!$B$9),0,MAX(0,SUMIF($B$8:$B$247,Personnes!$A36,$BC$8:$BC$247)-'Planning par personne'!H36))</f>
        <v>0</v>
      </c>
      <c r="CS36" t="n">
        <f>IF(OR(Personnes!$A36="",7&gt;Paramètres!$B$9),0,MAX(0,SUMIF($B$8:$B$247,Personnes!$A36,$BD$8:$BD$247)-'Planning par personne'!I36))</f>
        <v>0</v>
      </c>
      <c r="CT36" t="n">
        <f>IF(OR(Personnes!$A36="",8&gt;Paramètres!$B$9),0,MAX(0,SUMIF($B$8:$B$247,Personnes!$A36,$BE$8:$BE$247)-'Planning par personne'!J36))</f>
        <v>0</v>
      </c>
      <c r="CU36" t="n">
        <f>IF(OR(Personnes!$A36="",9&gt;Paramètres!$B$9),0,MAX(0,SUMIF($B$8:$B$247,Personnes!$A36,$BF$8:$BF$247)-'Planning par personne'!K36))</f>
        <v>0</v>
      </c>
      <c r="CV36" t="n">
        <f>IF(OR(Personnes!$A36="",10&gt;Paramètres!$B$9),0,MAX(0,SUMIF($B$8:$B$247,Personnes!$A36,$BG$8:$BG$247)-'Planning par personne'!L36))</f>
        <v>0</v>
      </c>
      <c r="CW36" t="n">
        <f>IF(OR(Personnes!$A36="",11&gt;Paramètres!$B$9),0,MAX(0,SUMIF($B$8:$B$247,Personnes!$A36,$BH$8:$BH$247)-'Planning par personne'!M36))</f>
        <v>0</v>
      </c>
      <c r="CX36" t="n">
        <f>IF(OR(Personnes!$A36="",12&gt;Paramètres!$B$9),0,MAX(0,SUMIF($B$8:$B$247,Personnes!$A36,$BI$8:$BI$247)-'Planning par personne'!N36))</f>
        <v>0</v>
      </c>
      <c r="CY36" t="n">
        <f>IF(OR(Personnes!$A36="",13&gt;Paramètres!$B$9),0,MAX(0,SUMIF($B$8:$B$247,Personnes!$A36,$BJ$8:$BJ$247)-'Planning par personne'!O36))</f>
        <v>0</v>
      </c>
      <c r="DJ36" t="n">
        <f>SUM(BM36:BY36)</f>
        <v>0</v>
      </c>
      <c r="DK36" t="n">
        <f>SUM(BZ36:CL36)</f>
        <v>0</v>
      </c>
      <c r="DL36" t="n">
        <f>SUM(CM36:CY36)</f>
        <v>0</v>
      </c>
      <c r="DM36" t="str">
        <f>IF(AND(Projets!A36&lt;&gt;"",Projets!G36="Engager"),DM35&amp;IF(DM35="","",", ")&amp;Projets!B36,DM35)</f>
        <v/>
      </c>
      <c r="DN36" t="str">
        <f>IF(AND(Projets!A36&lt;&gt;"",Projets!G36="Reporter"),DN35&amp;IF(DN35="","",", ")&amp;Projets!B36,DN35)</f>
        <v/>
      </c>
    </row>
    <row r="37">
      <c r="A37" t="n">
        <f>Charges!A37</f>
        <v>0</v>
      </c>
      <c r="B37" t="n">
        <f>Charges!C37</f>
        <v>0</v>
      </c>
      <c r="C37" t="str">
        <f>Charges!D37</f>
        <v/>
      </c>
      <c r="E37" t="n">
        <f>IF(1&lt;=Paramètres!$B$9,MAX(0,IFERROR(N(IF(ISNUMBER(Charges!F37),MAX(0,Charges!F37),IFERROR(VLOOKUP(Charges!F37,Paramètres!$A$15:$B$18,2,FALSE),0))),0)),0)</f>
        <v>0</v>
      </c>
      <c r="F37" t="n">
        <f>IF(2&lt;=Paramètres!$B$9,MAX(0,IFERROR(N(IF(ISNUMBER(Charges!G37),MAX(0,Charges!G37),IFERROR(VLOOKUP(Charges!G37,Paramètres!$A$15:$B$18,2,FALSE),0))),0)),0)</f>
        <v>0</v>
      </c>
      <c r="G37" t="n">
        <f>IF(3&lt;=Paramètres!$B$9,MAX(0,IFERROR(N(IF(ISNUMBER(Charges!H37),MAX(0,Charges!H37),IFERROR(VLOOKUP(Charges!H37,Paramètres!$A$15:$B$18,2,FALSE),0))),0)),0)</f>
        <v>0</v>
      </c>
      <c r="H37" t="n">
        <f>IF(4&lt;=Paramètres!$B$9,MAX(0,IFERROR(N(IF(ISNUMBER(Charges!I37),MAX(0,Charges!I37),IFERROR(VLOOKUP(Charges!I37,Paramètres!$A$15:$B$18,2,FALSE),0))),0)),0)</f>
        <v>0</v>
      </c>
      <c r="I37" t="n">
        <f>IF(5&lt;=Paramètres!$B$9,MAX(0,IFERROR(N(IF(ISNUMBER(Charges!J37),MAX(0,Charges!J37),IFERROR(VLOOKUP(Charges!J37,Paramètres!$A$15:$B$18,2,FALSE),0))),0)),0)</f>
        <v>0</v>
      </c>
      <c r="J37" t="n">
        <f>IF(6&lt;=Paramètres!$B$9,MAX(0,IFERROR(N(IF(ISNUMBER(Charges!K37),MAX(0,Charges!K37),IFERROR(VLOOKUP(Charges!K37,Paramètres!$A$15:$B$18,2,FALSE),0))),0)),0)</f>
        <v>0</v>
      </c>
      <c r="K37" t="n">
        <f>IF(7&lt;=Paramètres!$B$9,MAX(0,IFERROR(N(IF(ISNUMBER(Charges!L37),MAX(0,Charges!L37),IFERROR(VLOOKUP(Charges!L37,Paramètres!$A$15:$B$18,2,FALSE),0))),0)),0)</f>
        <v>0</v>
      </c>
      <c r="L37" t="n">
        <f>IF(8&lt;=Paramètres!$B$9,MAX(0,IFERROR(N(IF(ISNUMBER(Charges!M37),MAX(0,Charges!M37),IFERROR(VLOOKUP(Charges!M37,Paramètres!$A$15:$B$18,2,FALSE),0))),0)),0)</f>
        <v>0</v>
      </c>
      <c r="M37" t="n">
        <f>IF(9&lt;=Paramètres!$B$9,MAX(0,IFERROR(N(IF(ISNUMBER(Charges!N37),MAX(0,Charges!N37),IFERROR(VLOOKUP(Charges!N37,Paramètres!$A$15:$B$18,2,FALSE),0))),0)),0)</f>
        <v>0</v>
      </c>
      <c r="N37" t="n">
        <f>IF(10&lt;=Paramètres!$B$9,MAX(0,IFERROR(N(IF(ISNUMBER(Charges!O37),MAX(0,Charges!O37),IFERROR(VLOOKUP(Charges!O37,Paramètres!$A$15:$B$18,2,FALSE),0))),0)),0)</f>
        <v>0</v>
      </c>
      <c r="O37" t="n">
        <f>IF(11&lt;=Paramètres!$B$9,MAX(0,IFERROR(N(IF(ISNUMBER(Charges!P37),MAX(0,Charges!P37),IFERROR(VLOOKUP(Charges!P37,Paramètres!$A$15:$B$18,2,FALSE),0))),0)),0)</f>
        <v>0</v>
      </c>
      <c r="P37" t="n">
        <f>IF(12&lt;=Paramètres!$B$9,MAX(0,IFERROR(N(IF(ISNUMBER(Charges!Q37),MAX(0,Charges!Q37),IFERROR(VLOOKUP(Charges!Q37,Paramètres!$A$15:$B$18,2,FALSE),0))),0)),0)</f>
        <v>0</v>
      </c>
      <c r="Q37" t="n">
        <f>IF(13&lt;=Paramètres!$B$9,MAX(0,IFERROR(N(IF(ISNUMBER(Charges!R37),MAX(0,Charges!R37),IFERROR(VLOOKUP(Charges!R37,Paramètres!$A$15:$B$18,2,FALSE),0))),0)),0)</f>
        <v>0</v>
      </c>
      <c r="R37" t="n">
        <f>SUM(E37:Q37)</f>
        <v>0</v>
      </c>
      <c r="S37" t="n">
        <f>IF(IFERROR(VLOOKUP(A37,'Projets'!$A$8:$Z$67,7,FALSE),"")="Engager",1,0)</f>
        <v>0</v>
      </c>
      <c r="T37" t="n">
        <f>IF(OR(Charges!F37="",AND(ISNUMBER(Charges!F37),Charges!F37&gt;=0),Charges!F37="S",Charges!F37="M",Charges!F37="L",Charges!F37="XL"),0,1)+IF(OR(Charges!G37="",AND(ISNUMBER(Charges!G37),Charges!G37&gt;=0),Charges!G37="S",Charges!G37="M",Charges!G37="L",Charges!G37="XL"),0,1)+IF(OR(Charges!H37="",AND(ISNUMBER(Charges!H37),Charges!H37&gt;=0),Charges!H37="S",Charges!H37="M",Charges!H37="L",Charges!H37="XL"),0,1)+IF(OR(Charges!I37="",AND(ISNUMBER(Charges!I37),Charges!I37&gt;=0),Charges!I37="S",Charges!I37="M",Charges!I37="L",Charges!I37="XL"),0,1)+IF(OR(Charges!J37="",AND(ISNUMBER(Charges!J37),Charges!J37&gt;=0),Charges!J37="S",Charges!J37="M",Charges!J37="L",Charges!J37="XL"),0,1)+IF(OR(Charges!K37="",AND(ISNUMBER(Charges!K37),Charges!K37&gt;=0),Charges!K37="S",Charges!K37="M",Charges!K37="L",Charges!K37="XL"),0,1)+IF(OR(Charges!L37="",AND(ISNUMBER(Charges!L37),Charges!L37&gt;=0),Charges!L37="S",Charges!L37="M",Charges!L37="L",Charges!L37="XL"),0,1)+IF(OR(Charges!M37="",AND(ISNUMBER(Charges!M37),Charges!M37&gt;=0),Charges!M37="S",Charges!M37="M",Charges!M37="L",Charges!M37="XL"),0,1)+IF(OR(Charges!N37="",AND(ISNUMBER(Charges!N37),Charges!N37&gt;=0),Charges!N37="S",Charges!N37="M",Charges!N37="L",Charges!N37="XL"),0,1)+IF(OR(Charges!O37="",AND(ISNUMBER(Charges!O37),Charges!O37&gt;=0),Charges!O37="S",Charges!O37="M",Charges!O37="L",Charges!O37="XL"),0,1)+IF(OR(Charges!P37="",AND(ISNUMBER(Charges!P37),Charges!P37&gt;=0),Charges!P37="S",Charges!P37="M",Charges!P37="L",Charges!P37="XL"),0,1)+IF(OR(Charges!Q37="",AND(ISNUMBER(Charges!Q37),Charges!Q37&gt;=0),Charges!Q37="S",Charges!Q37="M",Charges!Q37="L",Charges!Q37="XL"),0,1)+IF(OR(Charges!R37="",AND(ISNUMBER(Charges!R37),Charges!R37&gt;=0),Charges!R37="S",Charges!R37="M",Charges!R37="L",Charges!R37="XL"),0,1)</f>
        <v>0</v>
      </c>
      <c r="U37" t="n">
        <f>IF(AND(1&gt;Paramètres!$B$9,Charges!F37&lt;&gt;"",Charges!F37&lt;&gt;0),1,0)+IF(AND(2&gt;Paramètres!$B$9,Charges!G37&lt;&gt;"",Charges!G37&lt;&gt;0),1,0)+IF(AND(3&gt;Paramètres!$B$9,Charges!H37&lt;&gt;"",Charges!H37&lt;&gt;0),1,0)+IF(AND(4&gt;Paramètres!$B$9,Charges!I37&lt;&gt;"",Charges!I37&lt;&gt;0),1,0)+IF(AND(5&gt;Paramètres!$B$9,Charges!J37&lt;&gt;"",Charges!J37&lt;&gt;0),1,0)+IF(AND(6&gt;Paramètres!$B$9,Charges!K37&lt;&gt;"",Charges!K37&lt;&gt;0),1,0)+IF(AND(7&gt;Paramètres!$B$9,Charges!L37&lt;&gt;"",Charges!L37&lt;&gt;0),1,0)+IF(AND(8&gt;Paramètres!$B$9,Charges!M37&lt;&gt;"",Charges!M37&lt;&gt;0),1,0)+IF(AND(9&gt;Paramètres!$B$9,Charges!N37&lt;&gt;"",Charges!N37&lt;&gt;0),1,0)+IF(AND(10&gt;Paramètres!$B$9,Charges!O37&lt;&gt;"",Charges!O37&lt;&gt;0),1,0)+IF(AND(11&gt;Paramètres!$B$9,Charges!P37&lt;&gt;"",Charges!P37&lt;&gt;0),1,0)+IF(AND(12&gt;Paramètres!$B$9,Charges!Q37&lt;&gt;"",Charges!Q37&lt;&gt;0),1,0)+IF(AND(13&gt;Paramètres!$B$9,Charges!R37&lt;&gt;"",Charges!R37&lt;&gt;0),1,0)</f>
        <v>0</v>
      </c>
      <c r="V37" t="n">
        <f>IF(IFERROR(VLOOKUP(A37,'Projets'!$A$8:$Z$67,5,FALSE),"")="Engager",1,0)</f>
        <v>0</v>
      </c>
      <c r="W37" t="n">
        <f>IF(IFERROR(VLOOKUP(A37,'Projets'!$A$8:$Z$67,6,FALSE),"")="Engager",1,0)</f>
        <v>0</v>
      </c>
      <c r="X37" t="n">
        <f>E37*S37</f>
        <v>0</v>
      </c>
      <c r="Y37" t="n">
        <f>F37*S37</f>
        <v>0</v>
      </c>
      <c r="Z37" t="n">
        <f>G37*S37</f>
        <v>0</v>
      </c>
      <c r="AA37" t="n">
        <f>H37*S37</f>
        <v>0</v>
      </c>
      <c r="AB37" t="n">
        <f>I37*S37</f>
        <v>0</v>
      </c>
      <c r="AC37" t="n">
        <f>J37*S37</f>
        <v>0</v>
      </c>
      <c r="AD37" t="n">
        <f>K37*S37</f>
        <v>0</v>
      </c>
      <c r="AE37" t="n">
        <f>L37*S37</f>
        <v>0</v>
      </c>
      <c r="AF37" t="n">
        <f>M37*S37</f>
        <v>0</v>
      </c>
      <c r="AG37" t="n">
        <f>N37*S37</f>
        <v>0</v>
      </c>
      <c r="AH37" t="n">
        <f>O37*S37</f>
        <v>0</v>
      </c>
      <c r="AI37" t="n">
        <f>P37*S37</f>
        <v>0</v>
      </c>
      <c r="AJ37" t="n">
        <f>Q37*S37</f>
        <v>0</v>
      </c>
      <c r="AK37" t="n">
        <f>E37*V37</f>
        <v>0</v>
      </c>
      <c r="AL37" t="n">
        <f>F37*V37</f>
        <v>0</v>
      </c>
      <c r="AM37" t="n">
        <f>G37*V37</f>
        <v>0</v>
      </c>
      <c r="AN37" t="n">
        <f>H37*V37</f>
        <v>0</v>
      </c>
      <c r="AO37" t="n">
        <f>I37*V37</f>
        <v>0</v>
      </c>
      <c r="AP37" t="n">
        <f>J37*V37</f>
        <v>0</v>
      </c>
      <c r="AQ37" t="n">
        <f>K37*V37</f>
        <v>0</v>
      </c>
      <c r="AR37" t="n">
        <f>L37*V37</f>
        <v>0</v>
      </c>
      <c r="AS37" t="n">
        <f>M37*V37</f>
        <v>0</v>
      </c>
      <c r="AT37" t="n">
        <f>N37*V37</f>
        <v>0</v>
      </c>
      <c r="AU37" t="n">
        <f>O37*V37</f>
        <v>0</v>
      </c>
      <c r="AV37" t="n">
        <f>P37*V37</f>
        <v>0</v>
      </c>
      <c r="AW37" t="n">
        <f>Q37*V37</f>
        <v>0</v>
      </c>
      <c r="AX37" t="n">
        <f>E37*W37</f>
        <v>0</v>
      </c>
      <c r="AY37" t="n">
        <f>F37*W37</f>
        <v>0</v>
      </c>
      <c r="AZ37" t="n">
        <f>G37*W37</f>
        <v>0</v>
      </c>
      <c r="BA37" t="n">
        <f>H37*W37</f>
        <v>0</v>
      </c>
      <c r="BB37" t="n">
        <f>I37*W37</f>
        <v>0</v>
      </c>
      <c r="BC37" t="n">
        <f>J37*W37</f>
        <v>0</v>
      </c>
      <c r="BD37" t="n">
        <f>K37*W37</f>
        <v>0</v>
      </c>
      <c r="BE37" t="n">
        <f>L37*W37</f>
        <v>0</v>
      </c>
      <c r="BF37" t="n">
        <f>M37*W37</f>
        <v>0</v>
      </c>
      <c r="BG37" t="n">
        <f>N37*W37</f>
        <v>0</v>
      </c>
      <c r="BH37" t="n">
        <f>O37*W37</f>
        <v>0</v>
      </c>
      <c r="BI37" t="n">
        <f>P37*W37</f>
        <v>0</v>
      </c>
      <c r="BJ37" t="n">
        <f>Q37*W37</f>
        <v>0</v>
      </c>
      <c r="BM37" t="n">
        <f>IF(OR(Personnes!$A37="",1&gt;Paramètres!$B$9),0,MAX(0,SUMIF($B$8:$B$247,Personnes!$A37,$E$8:$E$247)-'Planning par personne'!C37))</f>
        <v>0</v>
      </c>
      <c r="BN37" t="n">
        <f>IF(OR(Personnes!$A37="",2&gt;Paramètres!$B$9),0,MAX(0,SUMIF($B$8:$B$247,Personnes!$A37,$F$8:$F$247)-'Planning par personne'!D37))</f>
        <v>0</v>
      </c>
      <c r="BO37" t="n">
        <f>IF(OR(Personnes!$A37="",3&gt;Paramètres!$B$9),0,MAX(0,SUMIF($B$8:$B$247,Personnes!$A37,$G$8:$G$247)-'Planning par personne'!E37))</f>
        <v>0</v>
      </c>
      <c r="BP37" t="n">
        <f>IF(OR(Personnes!$A37="",4&gt;Paramètres!$B$9),0,MAX(0,SUMIF($B$8:$B$247,Personnes!$A37,$H$8:$H$247)-'Planning par personne'!F37))</f>
        <v>0</v>
      </c>
      <c r="BQ37" t="n">
        <f>IF(OR(Personnes!$A37="",5&gt;Paramètres!$B$9),0,MAX(0,SUMIF($B$8:$B$247,Personnes!$A37,$I$8:$I$247)-'Planning par personne'!G37))</f>
        <v>0</v>
      </c>
      <c r="BR37" t="n">
        <f>IF(OR(Personnes!$A37="",6&gt;Paramètres!$B$9),0,MAX(0,SUMIF($B$8:$B$247,Personnes!$A37,$J$8:$J$247)-'Planning par personne'!H37))</f>
        <v>0</v>
      </c>
      <c r="BS37" t="n">
        <f>IF(OR(Personnes!$A37="",7&gt;Paramètres!$B$9),0,MAX(0,SUMIF($B$8:$B$247,Personnes!$A37,$K$8:$K$247)-'Planning par personne'!I37))</f>
        <v>0</v>
      </c>
      <c r="BT37" t="n">
        <f>IF(OR(Personnes!$A37="",8&gt;Paramètres!$B$9),0,MAX(0,SUMIF($B$8:$B$247,Personnes!$A37,$L$8:$L$247)-'Planning par personne'!J37))</f>
        <v>0</v>
      </c>
      <c r="BU37" t="n">
        <f>IF(OR(Personnes!$A37="",9&gt;Paramètres!$B$9),0,MAX(0,SUMIF($B$8:$B$247,Personnes!$A37,$M$8:$M$247)-'Planning par personne'!K37))</f>
        <v>0</v>
      </c>
      <c r="BV37" t="n">
        <f>IF(OR(Personnes!$A37="",10&gt;Paramètres!$B$9),0,MAX(0,SUMIF($B$8:$B$247,Personnes!$A37,$N$8:$N$247)-'Planning par personne'!L37))</f>
        <v>0</v>
      </c>
      <c r="BW37" t="n">
        <f>IF(OR(Personnes!$A37="",11&gt;Paramètres!$B$9),0,MAX(0,SUMIF($B$8:$B$247,Personnes!$A37,$O$8:$O$247)-'Planning par personne'!M37))</f>
        <v>0</v>
      </c>
      <c r="BX37" t="n">
        <f>IF(OR(Personnes!$A37="",12&gt;Paramètres!$B$9),0,MAX(0,SUMIF($B$8:$B$247,Personnes!$A37,$P$8:$P$247)-'Planning par personne'!N37))</f>
        <v>0</v>
      </c>
      <c r="BY37" t="n">
        <f>IF(OR(Personnes!$A37="",13&gt;Paramètres!$B$9),0,MAX(0,SUMIF($B$8:$B$247,Personnes!$A37,$Q$8:$Q$247)-'Planning par personne'!O37))</f>
        <v>0</v>
      </c>
      <c r="BZ37" t="n">
        <f>IF(OR(Personnes!$A37="",1&gt;Paramètres!$B$9),0,MAX(0,SUMIF($B$8:$B$247,Personnes!$A37,$AK$8:$AK$247)-'Planning par personne'!C37))</f>
        <v>0</v>
      </c>
      <c r="CA37" t="n">
        <f>IF(OR(Personnes!$A37="",2&gt;Paramètres!$B$9),0,MAX(0,SUMIF($B$8:$B$247,Personnes!$A37,$AL$8:$AL$247)-'Planning par personne'!D37))</f>
        <v>0</v>
      </c>
      <c r="CB37" t="n">
        <f>IF(OR(Personnes!$A37="",3&gt;Paramètres!$B$9),0,MAX(0,SUMIF($B$8:$B$247,Personnes!$A37,$AM$8:$AM$247)-'Planning par personne'!E37))</f>
        <v>0</v>
      </c>
      <c r="CC37" t="n">
        <f>IF(OR(Personnes!$A37="",4&gt;Paramètres!$B$9),0,MAX(0,SUMIF($B$8:$B$247,Personnes!$A37,$AN$8:$AN$247)-'Planning par personne'!F37))</f>
        <v>0</v>
      </c>
      <c r="CD37" t="n">
        <f>IF(OR(Personnes!$A37="",5&gt;Paramètres!$B$9),0,MAX(0,SUMIF($B$8:$B$247,Personnes!$A37,$AO$8:$AO$247)-'Planning par personne'!G37))</f>
        <v>0</v>
      </c>
      <c r="CE37" t="n">
        <f>IF(OR(Personnes!$A37="",6&gt;Paramètres!$B$9),0,MAX(0,SUMIF($B$8:$B$247,Personnes!$A37,$AP$8:$AP$247)-'Planning par personne'!H37))</f>
        <v>0</v>
      </c>
      <c r="CF37" t="n">
        <f>IF(OR(Personnes!$A37="",7&gt;Paramètres!$B$9),0,MAX(0,SUMIF($B$8:$B$247,Personnes!$A37,$AQ$8:$AQ$247)-'Planning par personne'!I37))</f>
        <v>0</v>
      </c>
      <c r="CG37" t="n">
        <f>IF(OR(Personnes!$A37="",8&gt;Paramètres!$B$9),0,MAX(0,SUMIF($B$8:$B$247,Personnes!$A37,$AR$8:$AR$247)-'Planning par personne'!J37))</f>
        <v>0</v>
      </c>
      <c r="CH37" t="n">
        <f>IF(OR(Personnes!$A37="",9&gt;Paramètres!$B$9),0,MAX(0,SUMIF($B$8:$B$247,Personnes!$A37,$AS$8:$AS$247)-'Planning par personne'!K37))</f>
        <v>0</v>
      </c>
      <c r="CI37" t="n">
        <f>IF(OR(Personnes!$A37="",10&gt;Paramètres!$B$9),0,MAX(0,SUMIF($B$8:$B$247,Personnes!$A37,$AT$8:$AT$247)-'Planning par personne'!L37))</f>
        <v>0</v>
      </c>
      <c r="CJ37" t="n">
        <f>IF(OR(Personnes!$A37="",11&gt;Paramètres!$B$9),0,MAX(0,SUMIF($B$8:$B$247,Personnes!$A37,$AU$8:$AU$247)-'Planning par personne'!M37))</f>
        <v>0</v>
      </c>
      <c r="CK37" t="n">
        <f>IF(OR(Personnes!$A37="",12&gt;Paramètres!$B$9),0,MAX(0,SUMIF($B$8:$B$247,Personnes!$A37,$AV$8:$AV$247)-'Planning par personne'!N37))</f>
        <v>0</v>
      </c>
      <c r="CL37" t="n">
        <f>IF(OR(Personnes!$A37="",13&gt;Paramètres!$B$9),0,MAX(0,SUMIF($B$8:$B$247,Personnes!$A37,$AW$8:$AW$247)-'Planning par personne'!O37))</f>
        <v>0</v>
      </c>
      <c r="CM37" t="n">
        <f>IF(OR(Personnes!$A37="",1&gt;Paramètres!$B$9),0,MAX(0,SUMIF($B$8:$B$247,Personnes!$A37,$AX$8:$AX$247)-'Planning par personne'!C37))</f>
        <v>0</v>
      </c>
      <c r="CN37" t="n">
        <f>IF(OR(Personnes!$A37="",2&gt;Paramètres!$B$9),0,MAX(0,SUMIF($B$8:$B$247,Personnes!$A37,$AY$8:$AY$247)-'Planning par personne'!D37))</f>
        <v>0</v>
      </c>
      <c r="CO37" t="n">
        <f>IF(OR(Personnes!$A37="",3&gt;Paramètres!$B$9),0,MAX(0,SUMIF($B$8:$B$247,Personnes!$A37,$AZ$8:$AZ$247)-'Planning par personne'!E37))</f>
        <v>0</v>
      </c>
      <c r="CP37" t="n">
        <f>IF(OR(Personnes!$A37="",4&gt;Paramètres!$B$9),0,MAX(0,SUMIF($B$8:$B$247,Personnes!$A37,$BA$8:$BA$247)-'Planning par personne'!F37))</f>
        <v>0</v>
      </c>
      <c r="CQ37" t="n">
        <f>IF(OR(Personnes!$A37="",5&gt;Paramètres!$B$9),0,MAX(0,SUMIF($B$8:$B$247,Personnes!$A37,$BB$8:$BB$247)-'Planning par personne'!G37))</f>
        <v>0</v>
      </c>
      <c r="CR37" t="n">
        <f>IF(OR(Personnes!$A37="",6&gt;Paramètres!$B$9),0,MAX(0,SUMIF($B$8:$B$247,Personnes!$A37,$BC$8:$BC$247)-'Planning par personne'!H37))</f>
        <v>0</v>
      </c>
      <c r="CS37" t="n">
        <f>IF(OR(Personnes!$A37="",7&gt;Paramètres!$B$9),0,MAX(0,SUMIF($B$8:$B$247,Personnes!$A37,$BD$8:$BD$247)-'Planning par personne'!I37))</f>
        <v>0</v>
      </c>
      <c r="CT37" t="n">
        <f>IF(OR(Personnes!$A37="",8&gt;Paramètres!$B$9),0,MAX(0,SUMIF($B$8:$B$247,Personnes!$A37,$BE$8:$BE$247)-'Planning par personne'!J37))</f>
        <v>0</v>
      </c>
      <c r="CU37" t="n">
        <f>IF(OR(Personnes!$A37="",9&gt;Paramètres!$B$9),0,MAX(0,SUMIF($B$8:$B$247,Personnes!$A37,$BF$8:$BF$247)-'Planning par personne'!K37))</f>
        <v>0</v>
      </c>
      <c r="CV37" t="n">
        <f>IF(OR(Personnes!$A37="",10&gt;Paramètres!$B$9),0,MAX(0,SUMIF($B$8:$B$247,Personnes!$A37,$BG$8:$BG$247)-'Planning par personne'!L37))</f>
        <v>0</v>
      </c>
      <c r="CW37" t="n">
        <f>IF(OR(Personnes!$A37="",11&gt;Paramètres!$B$9),0,MAX(0,SUMIF($B$8:$B$247,Personnes!$A37,$BH$8:$BH$247)-'Planning par personne'!M37))</f>
        <v>0</v>
      </c>
      <c r="CX37" t="n">
        <f>IF(OR(Personnes!$A37="",12&gt;Paramètres!$B$9),0,MAX(0,SUMIF($B$8:$B$247,Personnes!$A37,$BI$8:$BI$247)-'Planning par personne'!N37))</f>
        <v>0</v>
      </c>
      <c r="CY37" t="n">
        <f>IF(OR(Personnes!$A37="",13&gt;Paramètres!$B$9),0,MAX(0,SUMIF($B$8:$B$247,Personnes!$A37,$BJ$8:$BJ$247)-'Planning par personne'!O37))</f>
        <v>0</v>
      </c>
      <c r="DJ37" t="n">
        <f>SUM(BM37:BY37)</f>
        <v>0</v>
      </c>
      <c r="DK37" t="n">
        <f>SUM(BZ37:CL37)</f>
        <v>0</v>
      </c>
      <c r="DL37" t="n">
        <f>SUM(CM37:CY37)</f>
        <v>0</v>
      </c>
      <c r="DM37" t="str">
        <f>IF(AND(Projets!A37&lt;&gt;"",Projets!G37="Engager"),DM36&amp;IF(DM36="","",", ")&amp;Projets!B37,DM36)</f>
        <v/>
      </c>
      <c r="DN37" t="str">
        <f>IF(AND(Projets!A37&lt;&gt;"",Projets!G37="Reporter"),DN36&amp;IF(DN36="","",", ")&amp;Projets!B37,DN36)</f>
        <v/>
      </c>
    </row>
    <row r="38">
      <c r="A38" t="n">
        <f>Charges!A38</f>
        <v>0</v>
      </c>
      <c r="B38" t="n">
        <f>Charges!C38</f>
        <v>0</v>
      </c>
      <c r="C38" t="str">
        <f>Charges!D38</f>
        <v/>
      </c>
      <c r="E38" t="n">
        <f>IF(1&lt;=Paramètres!$B$9,MAX(0,IFERROR(N(IF(ISNUMBER(Charges!F38),MAX(0,Charges!F38),IFERROR(VLOOKUP(Charges!F38,Paramètres!$A$15:$B$18,2,FALSE),0))),0)),0)</f>
        <v>0</v>
      </c>
      <c r="F38" t="n">
        <f>IF(2&lt;=Paramètres!$B$9,MAX(0,IFERROR(N(IF(ISNUMBER(Charges!G38),MAX(0,Charges!G38),IFERROR(VLOOKUP(Charges!G38,Paramètres!$A$15:$B$18,2,FALSE),0))),0)),0)</f>
        <v>0</v>
      </c>
      <c r="G38" t="n">
        <f>IF(3&lt;=Paramètres!$B$9,MAX(0,IFERROR(N(IF(ISNUMBER(Charges!H38),MAX(0,Charges!H38),IFERROR(VLOOKUP(Charges!H38,Paramètres!$A$15:$B$18,2,FALSE),0))),0)),0)</f>
        <v>0</v>
      </c>
      <c r="H38" t="n">
        <f>IF(4&lt;=Paramètres!$B$9,MAX(0,IFERROR(N(IF(ISNUMBER(Charges!I38),MAX(0,Charges!I38),IFERROR(VLOOKUP(Charges!I38,Paramètres!$A$15:$B$18,2,FALSE),0))),0)),0)</f>
        <v>0</v>
      </c>
      <c r="I38" t="n">
        <f>IF(5&lt;=Paramètres!$B$9,MAX(0,IFERROR(N(IF(ISNUMBER(Charges!J38),MAX(0,Charges!J38),IFERROR(VLOOKUP(Charges!J38,Paramètres!$A$15:$B$18,2,FALSE),0))),0)),0)</f>
        <v>0</v>
      </c>
      <c r="J38" t="n">
        <f>IF(6&lt;=Paramètres!$B$9,MAX(0,IFERROR(N(IF(ISNUMBER(Charges!K38),MAX(0,Charges!K38),IFERROR(VLOOKUP(Charges!K38,Paramètres!$A$15:$B$18,2,FALSE),0))),0)),0)</f>
        <v>0</v>
      </c>
      <c r="K38" t="n">
        <f>IF(7&lt;=Paramètres!$B$9,MAX(0,IFERROR(N(IF(ISNUMBER(Charges!L38),MAX(0,Charges!L38),IFERROR(VLOOKUP(Charges!L38,Paramètres!$A$15:$B$18,2,FALSE),0))),0)),0)</f>
        <v>0</v>
      </c>
      <c r="L38" t="n">
        <f>IF(8&lt;=Paramètres!$B$9,MAX(0,IFERROR(N(IF(ISNUMBER(Charges!M38),MAX(0,Charges!M38),IFERROR(VLOOKUP(Charges!M38,Paramètres!$A$15:$B$18,2,FALSE),0))),0)),0)</f>
        <v>0</v>
      </c>
      <c r="M38" t="n">
        <f>IF(9&lt;=Paramètres!$B$9,MAX(0,IFERROR(N(IF(ISNUMBER(Charges!N38),MAX(0,Charges!N38),IFERROR(VLOOKUP(Charges!N38,Paramètres!$A$15:$B$18,2,FALSE),0))),0)),0)</f>
        <v>0</v>
      </c>
      <c r="N38" t="n">
        <f>IF(10&lt;=Paramètres!$B$9,MAX(0,IFERROR(N(IF(ISNUMBER(Charges!O38),MAX(0,Charges!O38),IFERROR(VLOOKUP(Charges!O38,Paramètres!$A$15:$B$18,2,FALSE),0))),0)),0)</f>
        <v>0</v>
      </c>
      <c r="O38" t="n">
        <f>IF(11&lt;=Paramètres!$B$9,MAX(0,IFERROR(N(IF(ISNUMBER(Charges!P38),MAX(0,Charges!P38),IFERROR(VLOOKUP(Charges!P38,Paramètres!$A$15:$B$18,2,FALSE),0))),0)),0)</f>
        <v>0</v>
      </c>
      <c r="P38" t="n">
        <f>IF(12&lt;=Paramètres!$B$9,MAX(0,IFERROR(N(IF(ISNUMBER(Charges!Q38),MAX(0,Charges!Q38),IFERROR(VLOOKUP(Charges!Q38,Paramètres!$A$15:$B$18,2,FALSE),0))),0)),0)</f>
        <v>0</v>
      </c>
      <c r="Q38" t="n">
        <f>IF(13&lt;=Paramètres!$B$9,MAX(0,IFERROR(N(IF(ISNUMBER(Charges!R38),MAX(0,Charges!R38),IFERROR(VLOOKUP(Charges!R38,Paramètres!$A$15:$B$18,2,FALSE),0))),0)),0)</f>
        <v>0</v>
      </c>
      <c r="R38" t="n">
        <f>SUM(E38:Q38)</f>
        <v>0</v>
      </c>
      <c r="S38" t="n">
        <f>IF(IFERROR(VLOOKUP(A38,'Projets'!$A$8:$Z$67,7,FALSE),"")="Engager",1,0)</f>
        <v>0</v>
      </c>
      <c r="T38" t="n">
        <f>IF(OR(Charges!F38="",AND(ISNUMBER(Charges!F38),Charges!F38&gt;=0),Charges!F38="S",Charges!F38="M",Charges!F38="L",Charges!F38="XL"),0,1)+IF(OR(Charges!G38="",AND(ISNUMBER(Charges!G38),Charges!G38&gt;=0),Charges!G38="S",Charges!G38="M",Charges!G38="L",Charges!G38="XL"),0,1)+IF(OR(Charges!H38="",AND(ISNUMBER(Charges!H38),Charges!H38&gt;=0),Charges!H38="S",Charges!H38="M",Charges!H38="L",Charges!H38="XL"),0,1)+IF(OR(Charges!I38="",AND(ISNUMBER(Charges!I38),Charges!I38&gt;=0),Charges!I38="S",Charges!I38="M",Charges!I38="L",Charges!I38="XL"),0,1)+IF(OR(Charges!J38="",AND(ISNUMBER(Charges!J38),Charges!J38&gt;=0),Charges!J38="S",Charges!J38="M",Charges!J38="L",Charges!J38="XL"),0,1)+IF(OR(Charges!K38="",AND(ISNUMBER(Charges!K38),Charges!K38&gt;=0),Charges!K38="S",Charges!K38="M",Charges!K38="L",Charges!K38="XL"),0,1)+IF(OR(Charges!L38="",AND(ISNUMBER(Charges!L38),Charges!L38&gt;=0),Charges!L38="S",Charges!L38="M",Charges!L38="L",Charges!L38="XL"),0,1)+IF(OR(Charges!M38="",AND(ISNUMBER(Charges!M38),Charges!M38&gt;=0),Charges!M38="S",Charges!M38="M",Charges!M38="L",Charges!M38="XL"),0,1)+IF(OR(Charges!N38="",AND(ISNUMBER(Charges!N38),Charges!N38&gt;=0),Charges!N38="S",Charges!N38="M",Charges!N38="L",Charges!N38="XL"),0,1)+IF(OR(Charges!O38="",AND(ISNUMBER(Charges!O38),Charges!O38&gt;=0),Charges!O38="S",Charges!O38="M",Charges!O38="L",Charges!O38="XL"),0,1)+IF(OR(Charges!P38="",AND(ISNUMBER(Charges!P38),Charges!P38&gt;=0),Charges!P38="S",Charges!P38="M",Charges!P38="L",Charges!P38="XL"),0,1)+IF(OR(Charges!Q38="",AND(ISNUMBER(Charges!Q38),Charges!Q38&gt;=0),Charges!Q38="S",Charges!Q38="M",Charges!Q38="L",Charges!Q38="XL"),0,1)+IF(OR(Charges!R38="",AND(ISNUMBER(Charges!R38),Charges!R38&gt;=0),Charges!R38="S",Charges!R38="M",Charges!R38="L",Charges!R38="XL"),0,1)</f>
        <v>0</v>
      </c>
      <c r="U38" t="n">
        <f>IF(AND(1&gt;Paramètres!$B$9,Charges!F38&lt;&gt;"",Charges!F38&lt;&gt;0),1,0)+IF(AND(2&gt;Paramètres!$B$9,Charges!G38&lt;&gt;"",Charges!G38&lt;&gt;0),1,0)+IF(AND(3&gt;Paramètres!$B$9,Charges!H38&lt;&gt;"",Charges!H38&lt;&gt;0),1,0)+IF(AND(4&gt;Paramètres!$B$9,Charges!I38&lt;&gt;"",Charges!I38&lt;&gt;0),1,0)+IF(AND(5&gt;Paramètres!$B$9,Charges!J38&lt;&gt;"",Charges!J38&lt;&gt;0),1,0)+IF(AND(6&gt;Paramètres!$B$9,Charges!K38&lt;&gt;"",Charges!K38&lt;&gt;0),1,0)+IF(AND(7&gt;Paramètres!$B$9,Charges!L38&lt;&gt;"",Charges!L38&lt;&gt;0),1,0)+IF(AND(8&gt;Paramètres!$B$9,Charges!M38&lt;&gt;"",Charges!M38&lt;&gt;0),1,0)+IF(AND(9&gt;Paramètres!$B$9,Charges!N38&lt;&gt;"",Charges!N38&lt;&gt;0),1,0)+IF(AND(10&gt;Paramètres!$B$9,Charges!O38&lt;&gt;"",Charges!O38&lt;&gt;0),1,0)+IF(AND(11&gt;Paramètres!$B$9,Charges!P38&lt;&gt;"",Charges!P38&lt;&gt;0),1,0)+IF(AND(12&gt;Paramètres!$B$9,Charges!Q38&lt;&gt;"",Charges!Q38&lt;&gt;0),1,0)+IF(AND(13&gt;Paramètres!$B$9,Charges!R38&lt;&gt;"",Charges!R38&lt;&gt;0),1,0)</f>
        <v>0</v>
      </c>
      <c r="V38" t="n">
        <f>IF(IFERROR(VLOOKUP(A38,'Projets'!$A$8:$Z$67,5,FALSE),"")="Engager",1,0)</f>
        <v>0</v>
      </c>
      <c r="W38" t="n">
        <f>IF(IFERROR(VLOOKUP(A38,'Projets'!$A$8:$Z$67,6,FALSE),"")="Engager",1,0)</f>
        <v>0</v>
      </c>
      <c r="X38" t="n">
        <f>E38*S38</f>
        <v>0</v>
      </c>
      <c r="Y38" t="n">
        <f>F38*S38</f>
        <v>0</v>
      </c>
      <c r="Z38" t="n">
        <f>G38*S38</f>
        <v>0</v>
      </c>
      <c r="AA38" t="n">
        <f>H38*S38</f>
        <v>0</v>
      </c>
      <c r="AB38" t="n">
        <f>I38*S38</f>
        <v>0</v>
      </c>
      <c r="AC38" t="n">
        <f>J38*S38</f>
        <v>0</v>
      </c>
      <c r="AD38" t="n">
        <f>K38*S38</f>
        <v>0</v>
      </c>
      <c r="AE38" t="n">
        <f>L38*S38</f>
        <v>0</v>
      </c>
      <c r="AF38" t="n">
        <f>M38*S38</f>
        <v>0</v>
      </c>
      <c r="AG38" t="n">
        <f>N38*S38</f>
        <v>0</v>
      </c>
      <c r="AH38" t="n">
        <f>O38*S38</f>
        <v>0</v>
      </c>
      <c r="AI38" t="n">
        <f>P38*S38</f>
        <v>0</v>
      </c>
      <c r="AJ38" t="n">
        <f>Q38*S38</f>
        <v>0</v>
      </c>
      <c r="AK38" t="n">
        <f>E38*V38</f>
        <v>0</v>
      </c>
      <c r="AL38" t="n">
        <f>F38*V38</f>
        <v>0</v>
      </c>
      <c r="AM38" t="n">
        <f>G38*V38</f>
        <v>0</v>
      </c>
      <c r="AN38" t="n">
        <f>H38*V38</f>
        <v>0</v>
      </c>
      <c r="AO38" t="n">
        <f>I38*V38</f>
        <v>0</v>
      </c>
      <c r="AP38" t="n">
        <f>J38*V38</f>
        <v>0</v>
      </c>
      <c r="AQ38" t="n">
        <f>K38*V38</f>
        <v>0</v>
      </c>
      <c r="AR38" t="n">
        <f>L38*V38</f>
        <v>0</v>
      </c>
      <c r="AS38" t="n">
        <f>M38*V38</f>
        <v>0</v>
      </c>
      <c r="AT38" t="n">
        <f>N38*V38</f>
        <v>0</v>
      </c>
      <c r="AU38" t="n">
        <f>O38*V38</f>
        <v>0</v>
      </c>
      <c r="AV38" t="n">
        <f>P38*V38</f>
        <v>0</v>
      </c>
      <c r="AW38" t="n">
        <f>Q38*V38</f>
        <v>0</v>
      </c>
      <c r="AX38" t="n">
        <f>E38*W38</f>
        <v>0</v>
      </c>
      <c r="AY38" t="n">
        <f>F38*W38</f>
        <v>0</v>
      </c>
      <c r="AZ38" t="n">
        <f>G38*W38</f>
        <v>0</v>
      </c>
      <c r="BA38" t="n">
        <f>H38*W38</f>
        <v>0</v>
      </c>
      <c r="BB38" t="n">
        <f>I38*W38</f>
        <v>0</v>
      </c>
      <c r="BC38" t="n">
        <f>J38*W38</f>
        <v>0</v>
      </c>
      <c r="BD38" t="n">
        <f>K38*W38</f>
        <v>0</v>
      </c>
      <c r="BE38" t="n">
        <f>L38*W38</f>
        <v>0</v>
      </c>
      <c r="BF38" t="n">
        <f>M38*W38</f>
        <v>0</v>
      </c>
      <c r="BG38" t="n">
        <f>N38*W38</f>
        <v>0</v>
      </c>
      <c r="BH38" t="n">
        <f>O38*W38</f>
        <v>0</v>
      </c>
      <c r="BI38" t="n">
        <f>P38*W38</f>
        <v>0</v>
      </c>
      <c r="BJ38" t="n">
        <f>Q38*W38</f>
        <v>0</v>
      </c>
      <c r="BM38" t="n">
        <f>IF(OR(Personnes!$A38="",1&gt;Paramètres!$B$9),0,MAX(0,SUMIF($B$8:$B$247,Personnes!$A38,$E$8:$E$247)-'Planning par personne'!C38))</f>
        <v>0</v>
      </c>
      <c r="BN38" t="n">
        <f>IF(OR(Personnes!$A38="",2&gt;Paramètres!$B$9),0,MAX(0,SUMIF($B$8:$B$247,Personnes!$A38,$F$8:$F$247)-'Planning par personne'!D38))</f>
        <v>0</v>
      </c>
      <c r="BO38" t="n">
        <f>IF(OR(Personnes!$A38="",3&gt;Paramètres!$B$9),0,MAX(0,SUMIF($B$8:$B$247,Personnes!$A38,$G$8:$G$247)-'Planning par personne'!E38))</f>
        <v>0</v>
      </c>
      <c r="BP38" t="n">
        <f>IF(OR(Personnes!$A38="",4&gt;Paramètres!$B$9),0,MAX(0,SUMIF($B$8:$B$247,Personnes!$A38,$H$8:$H$247)-'Planning par personne'!F38))</f>
        <v>0</v>
      </c>
      <c r="BQ38" t="n">
        <f>IF(OR(Personnes!$A38="",5&gt;Paramètres!$B$9),0,MAX(0,SUMIF($B$8:$B$247,Personnes!$A38,$I$8:$I$247)-'Planning par personne'!G38))</f>
        <v>0</v>
      </c>
      <c r="BR38" t="n">
        <f>IF(OR(Personnes!$A38="",6&gt;Paramètres!$B$9),0,MAX(0,SUMIF($B$8:$B$247,Personnes!$A38,$J$8:$J$247)-'Planning par personne'!H38))</f>
        <v>0</v>
      </c>
      <c r="BS38" t="n">
        <f>IF(OR(Personnes!$A38="",7&gt;Paramètres!$B$9),0,MAX(0,SUMIF($B$8:$B$247,Personnes!$A38,$K$8:$K$247)-'Planning par personne'!I38))</f>
        <v>0</v>
      </c>
      <c r="BT38" t="n">
        <f>IF(OR(Personnes!$A38="",8&gt;Paramètres!$B$9),0,MAX(0,SUMIF($B$8:$B$247,Personnes!$A38,$L$8:$L$247)-'Planning par personne'!J38))</f>
        <v>0</v>
      </c>
      <c r="BU38" t="n">
        <f>IF(OR(Personnes!$A38="",9&gt;Paramètres!$B$9),0,MAX(0,SUMIF($B$8:$B$247,Personnes!$A38,$M$8:$M$247)-'Planning par personne'!K38))</f>
        <v>0</v>
      </c>
      <c r="BV38" t="n">
        <f>IF(OR(Personnes!$A38="",10&gt;Paramètres!$B$9),0,MAX(0,SUMIF($B$8:$B$247,Personnes!$A38,$N$8:$N$247)-'Planning par personne'!L38))</f>
        <v>0</v>
      </c>
      <c r="BW38" t="n">
        <f>IF(OR(Personnes!$A38="",11&gt;Paramètres!$B$9),0,MAX(0,SUMIF($B$8:$B$247,Personnes!$A38,$O$8:$O$247)-'Planning par personne'!M38))</f>
        <v>0</v>
      </c>
      <c r="BX38" t="n">
        <f>IF(OR(Personnes!$A38="",12&gt;Paramètres!$B$9),0,MAX(0,SUMIF($B$8:$B$247,Personnes!$A38,$P$8:$P$247)-'Planning par personne'!N38))</f>
        <v>0</v>
      </c>
      <c r="BY38" t="n">
        <f>IF(OR(Personnes!$A38="",13&gt;Paramètres!$B$9),0,MAX(0,SUMIF($B$8:$B$247,Personnes!$A38,$Q$8:$Q$247)-'Planning par personne'!O38))</f>
        <v>0</v>
      </c>
      <c r="BZ38" t="n">
        <f>IF(OR(Personnes!$A38="",1&gt;Paramètres!$B$9),0,MAX(0,SUMIF($B$8:$B$247,Personnes!$A38,$AK$8:$AK$247)-'Planning par personne'!C38))</f>
        <v>0</v>
      </c>
      <c r="CA38" t="n">
        <f>IF(OR(Personnes!$A38="",2&gt;Paramètres!$B$9),0,MAX(0,SUMIF($B$8:$B$247,Personnes!$A38,$AL$8:$AL$247)-'Planning par personne'!D38))</f>
        <v>0</v>
      </c>
      <c r="CB38" t="n">
        <f>IF(OR(Personnes!$A38="",3&gt;Paramètres!$B$9),0,MAX(0,SUMIF($B$8:$B$247,Personnes!$A38,$AM$8:$AM$247)-'Planning par personne'!E38))</f>
        <v>0</v>
      </c>
      <c r="CC38" t="n">
        <f>IF(OR(Personnes!$A38="",4&gt;Paramètres!$B$9),0,MAX(0,SUMIF($B$8:$B$247,Personnes!$A38,$AN$8:$AN$247)-'Planning par personne'!F38))</f>
        <v>0</v>
      </c>
      <c r="CD38" t="n">
        <f>IF(OR(Personnes!$A38="",5&gt;Paramètres!$B$9),0,MAX(0,SUMIF($B$8:$B$247,Personnes!$A38,$AO$8:$AO$247)-'Planning par personne'!G38))</f>
        <v>0</v>
      </c>
      <c r="CE38" t="n">
        <f>IF(OR(Personnes!$A38="",6&gt;Paramètres!$B$9),0,MAX(0,SUMIF($B$8:$B$247,Personnes!$A38,$AP$8:$AP$247)-'Planning par personne'!H38))</f>
        <v>0</v>
      </c>
      <c r="CF38" t="n">
        <f>IF(OR(Personnes!$A38="",7&gt;Paramètres!$B$9),0,MAX(0,SUMIF($B$8:$B$247,Personnes!$A38,$AQ$8:$AQ$247)-'Planning par personne'!I38))</f>
        <v>0</v>
      </c>
      <c r="CG38" t="n">
        <f>IF(OR(Personnes!$A38="",8&gt;Paramètres!$B$9),0,MAX(0,SUMIF($B$8:$B$247,Personnes!$A38,$AR$8:$AR$247)-'Planning par personne'!J38))</f>
        <v>0</v>
      </c>
      <c r="CH38" t="n">
        <f>IF(OR(Personnes!$A38="",9&gt;Paramètres!$B$9),0,MAX(0,SUMIF($B$8:$B$247,Personnes!$A38,$AS$8:$AS$247)-'Planning par personne'!K38))</f>
        <v>0</v>
      </c>
      <c r="CI38" t="n">
        <f>IF(OR(Personnes!$A38="",10&gt;Paramètres!$B$9),0,MAX(0,SUMIF($B$8:$B$247,Personnes!$A38,$AT$8:$AT$247)-'Planning par personne'!L38))</f>
        <v>0</v>
      </c>
      <c r="CJ38" t="n">
        <f>IF(OR(Personnes!$A38="",11&gt;Paramètres!$B$9),0,MAX(0,SUMIF($B$8:$B$247,Personnes!$A38,$AU$8:$AU$247)-'Planning par personne'!M38))</f>
        <v>0</v>
      </c>
      <c r="CK38" t="n">
        <f>IF(OR(Personnes!$A38="",12&gt;Paramètres!$B$9),0,MAX(0,SUMIF($B$8:$B$247,Personnes!$A38,$AV$8:$AV$247)-'Planning par personne'!N38))</f>
        <v>0</v>
      </c>
      <c r="CL38" t="n">
        <f>IF(OR(Personnes!$A38="",13&gt;Paramètres!$B$9),0,MAX(0,SUMIF($B$8:$B$247,Personnes!$A38,$AW$8:$AW$247)-'Planning par personne'!O38))</f>
        <v>0</v>
      </c>
      <c r="CM38" t="n">
        <f>IF(OR(Personnes!$A38="",1&gt;Paramètres!$B$9),0,MAX(0,SUMIF($B$8:$B$247,Personnes!$A38,$AX$8:$AX$247)-'Planning par personne'!C38))</f>
        <v>0</v>
      </c>
      <c r="CN38" t="n">
        <f>IF(OR(Personnes!$A38="",2&gt;Paramètres!$B$9),0,MAX(0,SUMIF($B$8:$B$247,Personnes!$A38,$AY$8:$AY$247)-'Planning par personne'!D38))</f>
        <v>0</v>
      </c>
      <c r="CO38" t="n">
        <f>IF(OR(Personnes!$A38="",3&gt;Paramètres!$B$9),0,MAX(0,SUMIF($B$8:$B$247,Personnes!$A38,$AZ$8:$AZ$247)-'Planning par personne'!E38))</f>
        <v>0</v>
      </c>
      <c r="CP38" t="n">
        <f>IF(OR(Personnes!$A38="",4&gt;Paramètres!$B$9),0,MAX(0,SUMIF($B$8:$B$247,Personnes!$A38,$BA$8:$BA$247)-'Planning par personne'!F38))</f>
        <v>0</v>
      </c>
      <c r="CQ38" t="n">
        <f>IF(OR(Personnes!$A38="",5&gt;Paramètres!$B$9),0,MAX(0,SUMIF($B$8:$B$247,Personnes!$A38,$BB$8:$BB$247)-'Planning par personne'!G38))</f>
        <v>0</v>
      </c>
      <c r="CR38" t="n">
        <f>IF(OR(Personnes!$A38="",6&gt;Paramètres!$B$9),0,MAX(0,SUMIF($B$8:$B$247,Personnes!$A38,$BC$8:$BC$247)-'Planning par personne'!H38))</f>
        <v>0</v>
      </c>
      <c r="CS38" t="n">
        <f>IF(OR(Personnes!$A38="",7&gt;Paramètres!$B$9),0,MAX(0,SUMIF($B$8:$B$247,Personnes!$A38,$BD$8:$BD$247)-'Planning par personne'!I38))</f>
        <v>0</v>
      </c>
      <c r="CT38" t="n">
        <f>IF(OR(Personnes!$A38="",8&gt;Paramètres!$B$9),0,MAX(0,SUMIF($B$8:$B$247,Personnes!$A38,$BE$8:$BE$247)-'Planning par personne'!J38))</f>
        <v>0</v>
      </c>
      <c r="CU38" t="n">
        <f>IF(OR(Personnes!$A38="",9&gt;Paramètres!$B$9),0,MAX(0,SUMIF($B$8:$B$247,Personnes!$A38,$BF$8:$BF$247)-'Planning par personne'!K38))</f>
        <v>0</v>
      </c>
      <c r="CV38" t="n">
        <f>IF(OR(Personnes!$A38="",10&gt;Paramètres!$B$9),0,MAX(0,SUMIF($B$8:$B$247,Personnes!$A38,$BG$8:$BG$247)-'Planning par personne'!L38))</f>
        <v>0</v>
      </c>
      <c r="CW38" t="n">
        <f>IF(OR(Personnes!$A38="",11&gt;Paramètres!$B$9),0,MAX(0,SUMIF($B$8:$B$247,Personnes!$A38,$BH$8:$BH$247)-'Planning par personne'!M38))</f>
        <v>0</v>
      </c>
      <c r="CX38" t="n">
        <f>IF(OR(Personnes!$A38="",12&gt;Paramètres!$B$9),0,MAX(0,SUMIF($B$8:$B$247,Personnes!$A38,$BI$8:$BI$247)-'Planning par personne'!N38))</f>
        <v>0</v>
      </c>
      <c r="CY38" t="n">
        <f>IF(OR(Personnes!$A38="",13&gt;Paramètres!$B$9),0,MAX(0,SUMIF($B$8:$B$247,Personnes!$A38,$BJ$8:$BJ$247)-'Planning par personne'!O38))</f>
        <v>0</v>
      </c>
      <c r="DJ38" t="n">
        <f>SUM(BM38:BY38)</f>
        <v>0</v>
      </c>
      <c r="DK38" t="n">
        <f>SUM(BZ38:CL38)</f>
        <v>0</v>
      </c>
      <c r="DL38" t="n">
        <f>SUM(CM38:CY38)</f>
        <v>0</v>
      </c>
      <c r="DM38" t="str">
        <f>IF(AND(Projets!A38&lt;&gt;"",Projets!G38="Engager"),DM37&amp;IF(DM37="","",", ")&amp;Projets!B38,DM37)</f>
        <v/>
      </c>
      <c r="DN38" t="str">
        <f>IF(AND(Projets!A38&lt;&gt;"",Projets!G38="Reporter"),DN37&amp;IF(DN37="","",", ")&amp;Projets!B38,DN37)</f>
        <v/>
      </c>
    </row>
    <row r="39">
      <c r="A39" t="n">
        <f>Charges!A39</f>
        <v>0</v>
      </c>
      <c r="B39" t="n">
        <f>Charges!C39</f>
        <v>0</v>
      </c>
      <c r="C39" t="str">
        <f>Charges!D39</f>
        <v/>
      </c>
      <c r="E39" t="n">
        <f>IF(1&lt;=Paramètres!$B$9,MAX(0,IFERROR(N(IF(ISNUMBER(Charges!F39),MAX(0,Charges!F39),IFERROR(VLOOKUP(Charges!F39,Paramètres!$A$15:$B$18,2,FALSE),0))),0)),0)</f>
        <v>0</v>
      </c>
      <c r="F39" t="n">
        <f>IF(2&lt;=Paramètres!$B$9,MAX(0,IFERROR(N(IF(ISNUMBER(Charges!G39),MAX(0,Charges!G39),IFERROR(VLOOKUP(Charges!G39,Paramètres!$A$15:$B$18,2,FALSE),0))),0)),0)</f>
        <v>0</v>
      </c>
      <c r="G39" t="n">
        <f>IF(3&lt;=Paramètres!$B$9,MAX(0,IFERROR(N(IF(ISNUMBER(Charges!H39),MAX(0,Charges!H39),IFERROR(VLOOKUP(Charges!H39,Paramètres!$A$15:$B$18,2,FALSE),0))),0)),0)</f>
        <v>0</v>
      </c>
      <c r="H39" t="n">
        <f>IF(4&lt;=Paramètres!$B$9,MAX(0,IFERROR(N(IF(ISNUMBER(Charges!I39),MAX(0,Charges!I39),IFERROR(VLOOKUP(Charges!I39,Paramètres!$A$15:$B$18,2,FALSE),0))),0)),0)</f>
        <v>0</v>
      </c>
      <c r="I39" t="n">
        <f>IF(5&lt;=Paramètres!$B$9,MAX(0,IFERROR(N(IF(ISNUMBER(Charges!J39),MAX(0,Charges!J39),IFERROR(VLOOKUP(Charges!J39,Paramètres!$A$15:$B$18,2,FALSE),0))),0)),0)</f>
        <v>0</v>
      </c>
      <c r="J39" t="n">
        <f>IF(6&lt;=Paramètres!$B$9,MAX(0,IFERROR(N(IF(ISNUMBER(Charges!K39),MAX(0,Charges!K39),IFERROR(VLOOKUP(Charges!K39,Paramètres!$A$15:$B$18,2,FALSE),0))),0)),0)</f>
        <v>0</v>
      </c>
      <c r="K39" t="n">
        <f>IF(7&lt;=Paramètres!$B$9,MAX(0,IFERROR(N(IF(ISNUMBER(Charges!L39),MAX(0,Charges!L39),IFERROR(VLOOKUP(Charges!L39,Paramètres!$A$15:$B$18,2,FALSE),0))),0)),0)</f>
        <v>0</v>
      </c>
      <c r="L39" t="n">
        <f>IF(8&lt;=Paramètres!$B$9,MAX(0,IFERROR(N(IF(ISNUMBER(Charges!M39),MAX(0,Charges!M39),IFERROR(VLOOKUP(Charges!M39,Paramètres!$A$15:$B$18,2,FALSE),0))),0)),0)</f>
        <v>0</v>
      </c>
      <c r="M39" t="n">
        <f>IF(9&lt;=Paramètres!$B$9,MAX(0,IFERROR(N(IF(ISNUMBER(Charges!N39),MAX(0,Charges!N39),IFERROR(VLOOKUP(Charges!N39,Paramètres!$A$15:$B$18,2,FALSE),0))),0)),0)</f>
        <v>0</v>
      </c>
      <c r="N39" t="n">
        <f>IF(10&lt;=Paramètres!$B$9,MAX(0,IFERROR(N(IF(ISNUMBER(Charges!O39),MAX(0,Charges!O39),IFERROR(VLOOKUP(Charges!O39,Paramètres!$A$15:$B$18,2,FALSE),0))),0)),0)</f>
        <v>0</v>
      </c>
      <c r="O39" t="n">
        <f>IF(11&lt;=Paramètres!$B$9,MAX(0,IFERROR(N(IF(ISNUMBER(Charges!P39),MAX(0,Charges!P39),IFERROR(VLOOKUP(Charges!P39,Paramètres!$A$15:$B$18,2,FALSE),0))),0)),0)</f>
        <v>0</v>
      </c>
      <c r="P39" t="n">
        <f>IF(12&lt;=Paramètres!$B$9,MAX(0,IFERROR(N(IF(ISNUMBER(Charges!Q39),MAX(0,Charges!Q39),IFERROR(VLOOKUP(Charges!Q39,Paramètres!$A$15:$B$18,2,FALSE),0))),0)),0)</f>
        <v>0</v>
      </c>
      <c r="Q39" t="n">
        <f>IF(13&lt;=Paramètres!$B$9,MAX(0,IFERROR(N(IF(ISNUMBER(Charges!R39),MAX(0,Charges!R39),IFERROR(VLOOKUP(Charges!R39,Paramètres!$A$15:$B$18,2,FALSE),0))),0)),0)</f>
        <v>0</v>
      </c>
      <c r="R39" t="n">
        <f>SUM(E39:Q39)</f>
        <v>0</v>
      </c>
      <c r="S39" t="n">
        <f>IF(IFERROR(VLOOKUP(A39,'Projets'!$A$8:$Z$67,7,FALSE),"")="Engager",1,0)</f>
        <v>0</v>
      </c>
      <c r="T39" t="n">
        <f>IF(OR(Charges!F39="",AND(ISNUMBER(Charges!F39),Charges!F39&gt;=0),Charges!F39="S",Charges!F39="M",Charges!F39="L",Charges!F39="XL"),0,1)+IF(OR(Charges!G39="",AND(ISNUMBER(Charges!G39),Charges!G39&gt;=0),Charges!G39="S",Charges!G39="M",Charges!G39="L",Charges!G39="XL"),0,1)+IF(OR(Charges!H39="",AND(ISNUMBER(Charges!H39),Charges!H39&gt;=0),Charges!H39="S",Charges!H39="M",Charges!H39="L",Charges!H39="XL"),0,1)+IF(OR(Charges!I39="",AND(ISNUMBER(Charges!I39),Charges!I39&gt;=0),Charges!I39="S",Charges!I39="M",Charges!I39="L",Charges!I39="XL"),0,1)+IF(OR(Charges!J39="",AND(ISNUMBER(Charges!J39),Charges!J39&gt;=0),Charges!J39="S",Charges!J39="M",Charges!J39="L",Charges!J39="XL"),0,1)+IF(OR(Charges!K39="",AND(ISNUMBER(Charges!K39),Charges!K39&gt;=0),Charges!K39="S",Charges!K39="M",Charges!K39="L",Charges!K39="XL"),0,1)+IF(OR(Charges!L39="",AND(ISNUMBER(Charges!L39),Charges!L39&gt;=0),Charges!L39="S",Charges!L39="M",Charges!L39="L",Charges!L39="XL"),0,1)+IF(OR(Charges!M39="",AND(ISNUMBER(Charges!M39),Charges!M39&gt;=0),Charges!M39="S",Charges!M39="M",Charges!M39="L",Charges!M39="XL"),0,1)+IF(OR(Charges!N39="",AND(ISNUMBER(Charges!N39),Charges!N39&gt;=0),Charges!N39="S",Charges!N39="M",Charges!N39="L",Charges!N39="XL"),0,1)+IF(OR(Charges!O39="",AND(ISNUMBER(Charges!O39),Charges!O39&gt;=0),Charges!O39="S",Charges!O39="M",Charges!O39="L",Charges!O39="XL"),0,1)+IF(OR(Charges!P39="",AND(ISNUMBER(Charges!P39),Charges!P39&gt;=0),Charges!P39="S",Charges!P39="M",Charges!P39="L",Charges!P39="XL"),0,1)+IF(OR(Charges!Q39="",AND(ISNUMBER(Charges!Q39),Charges!Q39&gt;=0),Charges!Q39="S",Charges!Q39="M",Charges!Q39="L",Charges!Q39="XL"),0,1)+IF(OR(Charges!R39="",AND(ISNUMBER(Charges!R39),Charges!R39&gt;=0),Charges!R39="S",Charges!R39="M",Charges!R39="L",Charges!R39="XL"),0,1)</f>
        <v>0</v>
      </c>
      <c r="U39" t="n">
        <f>IF(AND(1&gt;Paramètres!$B$9,Charges!F39&lt;&gt;"",Charges!F39&lt;&gt;0),1,0)+IF(AND(2&gt;Paramètres!$B$9,Charges!G39&lt;&gt;"",Charges!G39&lt;&gt;0),1,0)+IF(AND(3&gt;Paramètres!$B$9,Charges!H39&lt;&gt;"",Charges!H39&lt;&gt;0),1,0)+IF(AND(4&gt;Paramètres!$B$9,Charges!I39&lt;&gt;"",Charges!I39&lt;&gt;0),1,0)+IF(AND(5&gt;Paramètres!$B$9,Charges!J39&lt;&gt;"",Charges!J39&lt;&gt;0),1,0)+IF(AND(6&gt;Paramètres!$B$9,Charges!K39&lt;&gt;"",Charges!K39&lt;&gt;0),1,0)+IF(AND(7&gt;Paramètres!$B$9,Charges!L39&lt;&gt;"",Charges!L39&lt;&gt;0),1,0)+IF(AND(8&gt;Paramètres!$B$9,Charges!M39&lt;&gt;"",Charges!M39&lt;&gt;0),1,0)+IF(AND(9&gt;Paramètres!$B$9,Charges!N39&lt;&gt;"",Charges!N39&lt;&gt;0),1,0)+IF(AND(10&gt;Paramètres!$B$9,Charges!O39&lt;&gt;"",Charges!O39&lt;&gt;0),1,0)+IF(AND(11&gt;Paramètres!$B$9,Charges!P39&lt;&gt;"",Charges!P39&lt;&gt;0),1,0)+IF(AND(12&gt;Paramètres!$B$9,Charges!Q39&lt;&gt;"",Charges!Q39&lt;&gt;0),1,0)+IF(AND(13&gt;Paramètres!$B$9,Charges!R39&lt;&gt;"",Charges!R39&lt;&gt;0),1,0)</f>
        <v>0</v>
      </c>
      <c r="V39" t="n">
        <f>IF(IFERROR(VLOOKUP(A39,'Projets'!$A$8:$Z$67,5,FALSE),"")="Engager",1,0)</f>
        <v>0</v>
      </c>
      <c r="W39" t="n">
        <f>IF(IFERROR(VLOOKUP(A39,'Projets'!$A$8:$Z$67,6,FALSE),"")="Engager",1,0)</f>
        <v>0</v>
      </c>
      <c r="X39" t="n">
        <f>E39*S39</f>
        <v>0</v>
      </c>
      <c r="Y39" t="n">
        <f>F39*S39</f>
        <v>0</v>
      </c>
      <c r="Z39" t="n">
        <f>G39*S39</f>
        <v>0</v>
      </c>
      <c r="AA39" t="n">
        <f>H39*S39</f>
        <v>0</v>
      </c>
      <c r="AB39" t="n">
        <f>I39*S39</f>
        <v>0</v>
      </c>
      <c r="AC39" t="n">
        <f>J39*S39</f>
        <v>0</v>
      </c>
      <c r="AD39" t="n">
        <f>K39*S39</f>
        <v>0</v>
      </c>
      <c r="AE39" t="n">
        <f>L39*S39</f>
        <v>0</v>
      </c>
      <c r="AF39" t="n">
        <f>M39*S39</f>
        <v>0</v>
      </c>
      <c r="AG39" t="n">
        <f>N39*S39</f>
        <v>0</v>
      </c>
      <c r="AH39" t="n">
        <f>O39*S39</f>
        <v>0</v>
      </c>
      <c r="AI39" t="n">
        <f>P39*S39</f>
        <v>0</v>
      </c>
      <c r="AJ39" t="n">
        <f>Q39*S39</f>
        <v>0</v>
      </c>
      <c r="AK39" t="n">
        <f>E39*V39</f>
        <v>0</v>
      </c>
      <c r="AL39" t="n">
        <f>F39*V39</f>
        <v>0</v>
      </c>
      <c r="AM39" t="n">
        <f>G39*V39</f>
        <v>0</v>
      </c>
      <c r="AN39" t="n">
        <f>H39*V39</f>
        <v>0</v>
      </c>
      <c r="AO39" t="n">
        <f>I39*V39</f>
        <v>0</v>
      </c>
      <c r="AP39" t="n">
        <f>J39*V39</f>
        <v>0</v>
      </c>
      <c r="AQ39" t="n">
        <f>K39*V39</f>
        <v>0</v>
      </c>
      <c r="AR39" t="n">
        <f>L39*V39</f>
        <v>0</v>
      </c>
      <c r="AS39" t="n">
        <f>M39*V39</f>
        <v>0</v>
      </c>
      <c r="AT39" t="n">
        <f>N39*V39</f>
        <v>0</v>
      </c>
      <c r="AU39" t="n">
        <f>O39*V39</f>
        <v>0</v>
      </c>
      <c r="AV39" t="n">
        <f>P39*V39</f>
        <v>0</v>
      </c>
      <c r="AW39" t="n">
        <f>Q39*V39</f>
        <v>0</v>
      </c>
      <c r="AX39" t="n">
        <f>E39*W39</f>
        <v>0</v>
      </c>
      <c r="AY39" t="n">
        <f>F39*W39</f>
        <v>0</v>
      </c>
      <c r="AZ39" t="n">
        <f>G39*W39</f>
        <v>0</v>
      </c>
      <c r="BA39" t="n">
        <f>H39*W39</f>
        <v>0</v>
      </c>
      <c r="BB39" t="n">
        <f>I39*W39</f>
        <v>0</v>
      </c>
      <c r="BC39" t="n">
        <f>J39*W39</f>
        <v>0</v>
      </c>
      <c r="BD39" t="n">
        <f>K39*W39</f>
        <v>0</v>
      </c>
      <c r="BE39" t="n">
        <f>L39*W39</f>
        <v>0</v>
      </c>
      <c r="BF39" t="n">
        <f>M39*W39</f>
        <v>0</v>
      </c>
      <c r="BG39" t="n">
        <f>N39*W39</f>
        <v>0</v>
      </c>
      <c r="BH39" t="n">
        <f>O39*W39</f>
        <v>0</v>
      </c>
      <c r="BI39" t="n">
        <f>P39*W39</f>
        <v>0</v>
      </c>
      <c r="BJ39" t="n">
        <f>Q39*W39</f>
        <v>0</v>
      </c>
      <c r="BM39" t="n">
        <f>IF(OR(Personnes!$A39="",1&gt;Paramètres!$B$9),0,MAX(0,SUMIF($B$8:$B$247,Personnes!$A39,$E$8:$E$247)-'Planning par personne'!C39))</f>
        <v>0</v>
      </c>
      <c r="BN39" t="n">
        <f>IF(OR(Personnes!$A39="",2&gt;Paramètres!$B$9),0,MAX(0,SUMIF($B$8:$B$247,Personnes!$A39,$F$8:$F$247)-'Planning par personne'!D39))</f>
        <v>0</v>
      </c>
      <c r="BO39" t="n">
        <f>IF(OR(Personnes!$A39="",3&gt;Paramètres!$B$9),0,MAX(0,SUMIF($B$8:$B$247,Personnes!$A39,$G$8:$G$247)-'Planning par personne'!E39))</f>
        <v>0</v>
      </c>
      <c r="BP39" t="n">
        <f>IF(OR(Personnes!$A39="",4&gt;Paramètres!$B$9),0,MAX(0,SUMIF($B$8:$B$247,Personnes!$A39,$H$8:$H$247)-'Planning par personne'!F39))</f>
        <v>0</v>
      </c>
      <c r="BQ39" t="n">
        <f>IF(OR(Personnes!$A39="",5&gt;Paramètres!$B$9),0,MAX(0,SUMIF($B$8:$B$247,Personnes!$A39,$I$8:$I$247)-'Planning par personne'!G39))</f>
        <v>0</v>
      </c>
      <c r="BR39" t="n">
        <f>IF(OR(Personnes!$A39="",6&gt;Paramètres!$B$9),0,MAX(0,SUMIF($B$8:$B$247,Personnes!$A39,$J$8:$J$247)-'Planning par personne'!H39))</f>
        <v>0</v>
      </c>
      <c r="BS39" t="n">
        <f>IF(OR(Personnes!$A39="",7&gt;Paramètres!$B$9),0,MAX(0,SUMIF($B$8:$B$247,Personnes!$A39,$K$8:$K$247)-'Planning par personne'!I39))</f>
        <v>0</v>
      </c>
      <c r="BT39" t="n">
        <f>IF(OR(Personnes!$A39="",8&gt;Paramètres!$B$9),0,MAX(0,SUMIF($B$8:$B$247,Personnes!$A39,$L$8:$L$247)-'Planning par personne'!J39))</f>
        <v>0</v>
      </c>
      <c r="BU39" t="n">
        <f>IF(OR(Personnes!$A39="",9&gt;Paramètres!$B$9),0,MAX(0,SUMIF($B$8:$B$247,Personnes!$A39,$M$8:$M$247)-'Planning par personne'!K39))</f>
        <v>0</v>
      </c>
      <c r="BV39" t="n">
        <f>IF(OR(Personnes!$A39="",10&gt;Paramètres!$B$9),0,MAX(0,SUMIF($B$8:$B$247,Personnes!$A39,$N$8:$N$247)-'Planning par personne'!L39))</f>
        <v>0</v>
      </c>
      <c r="BW39" t="n">
        <f>IF(OR(Personnes!$A39="",11&gt;Paramètres!$B$9),0,MAX(0,SUMIF($B$8:$B$247,Personnes!$A39,$O$8:$O$247)-'Planning par personne'!M39))</f>
        <v>0</v>
      </c>
      <c r="BX39" t="n">
        <f>IF(OR(Personnes!$A39="",12&gt;Paramètres!$B$9),0,MAX(0,SUMIF($B$8:$B$247,Personnes!$A39,$P$8:$P$247)-'Planning par personne'!N39))</f>
        <v>0</v>
      </c>
      <c r="BY39" t="n">
        <f>IF(OR(Personnes!$A39="",13&gt;Paramètres!$B$9),0,MAX(0,SUMIF($B$8:$B$247,Personnes!$A39,$Q$8:$Q$247)-'Planning par personne'!O39))</f>
        <v>0</v>
      </c>
      <c r="BZ39" t="n">
        <f>IF(OR(Personnes!$A39="",1&gt;Paramètres!$B$9),0,MAX(0,SUMIF($B$8:$B$247,Personnes!$A39,$AK$8:$AK$247)-'Planning par personne'!C39))</f>
        <v>0</v>
      </c>
      <c r="CA39" t="n">
        <f>IF(OR(Personnes!$A39="",2&gt;Paramètres!$B$9),0,MAX(0,SUMIF($B$8:$B$247,Personnes!$A39,$AL$8:$AL$247)-'Planning par personne'!D39))</f>
        <v>0</v>
      </c>
      <c r="CB39" t="n">
        <f>IF(OR(Personnes!$A39="",3&gt;Paramètres!$B$9),0,MAX(0,SUMIF($B$8:$B$247,Personnes!$A39,$AM$8:$AM$247)-'Planning par personne'!E39))</f>
        <v>0</v>
      </c>
      <c r="CC39" t="n">
        <f>IF(OR(Personnes!$A39="",4&gt;Paramètres!$B$9),0,MAX(0,SUMIF($B$8:$B$247,Personnes!$A39,$AN$8:$AN$247)-'Planning par personne'!F39))</f>
        <v>0</v>
      </c>
      <c r="CD39" t="n">
        <f>IF(OR(Personnes!$A39="",5&gt;Paramètres!$B$9),0,MAX(0,SUMIF($B$8:$B$247,Personnes!$A39,$AO$8:$AO$247)-'Planning par personne'!G39))</f>
        <v>0</v>
      </c>
      <c r="CE39" t="n">
        <f>IF(OR(Personnes!$A39="",6&gt;Paramètres!$B$9),0,MAX(0,SUMIF($B$8:$B$247,Personnes!$A39,$AP$8:$AP$247)-'Planning par personne'!H39))</f>
        <v>0</v>
      </c>
      <c r="CF39" t="n">
        <f>IF(OR(Personnes!$A39="",7&gt;Paramètres!$B$9),0,MAX(0,SUMIF($B$8:$B$247,Personnes!$A39,$AQ$8:$AQ$247)-'Planning par personne'!I39))</f>
        <v>0</v>
      </c>
      <c r="CG39" t="n">
        <f>IF(OR(Personnes!$A39="",8&gt;Paramètres!$B$9),0,MAX(0,SUMIF($B$8:$B$247,Personnes!$A39,$AR$8:$AR$247)-'Planning par personne'!J39))</f>
        <v>0</v>
      </c>
      <c r="CH39" t="n">
        <f>IF(OR(Personnes!$A39="",9&gt;Paramètres!$B$9),0,MAX(0,SUMIF($B$8:$B$247,Personnes!$A39,$AS$8:$AS$247)-'Planning par personne'!K39))</f>
        <v>0</v>
      </c>
      <c r="CI39" t="n">
        <f>IF(OR(Personnes!$A39="",10&gt;Paramètres!$B$9),0,MAX(0,SUMIF($B$8:$B$247,Personnes!$A39,$AT$8:$AT$247)-'Planning par personne'!L39))</f>
        <v>0</v>
      </c>
      <c r="CJ39" t="n">
        <f>IF(OR(Personnes!$A39="",11&gt;Paramètres!$B$9),0,MAX(0,SUMIF($B$8:$B$247,Personnes!$A39,$AU$8:$AU$247)-'Planning par personne'!M39))</f>
        <v>0</v>
      </c>
      <c r="CK39" t="n">
        <f>IF(OR(Personnes!$A39="",12&gt;Paramètres!$B$9),0,MAX(0,SUMIF($B$8:$B$247,Personnes!$A39,$AV$8:$AV$247)-'Planning par personne'!N39))</f>
        <v>0</v>
      </c>
      <c r="CL39" t="n">
        <f>IF(OR(Personnes!$A39="",13&gt;Paramètres!$B$9),0,MAX(0,SUMIF($B$8:$B$247,Personnes!$A39,$AW$8:$AW$247)-'Planning par personne'!O39))</f>
        <v>0</v>
      </c>
      <c r="CM39" t="n">
        <f>IF(OR(Personnes!$A39="",1&gt;Paramètres!$B$9),0,MAX(0,SUMIF($B$8:$B$247,Personnes!$A39,$AX$8:$AX$247)-'Planning par personne'!C39))</f>
        <v>0</v>
      </c>
      <c r="CN39" t="n">
        <f>IF(OR(Personnes!$A39="",2&gt;Paramètres!$B$9),0,MAX(0,SUMIF($B$8:$B$247,Personnes!$A39,$AY$8:$AY$247)-'Planning par personne'!D39))</f>
        <v>0</v>
      </c>
      <c r="CO39" t="n">
        <f>IF(OR(Personnes!$A39="",3&gt;Paramètres!$B$9),0,MAX(0,SUMIF($B$8:$B$247,Personnes!$A39,$AZ$8:$AZ$247)-'Planning par personne'!E39))</f>
        <v>0</v>
      </c>
      <c r="CP39" t="n">
        <f>IF(OR(Personnes!$A39="",4&gt;Paramètres!$B$9),0,MAX(0,SUMIF($B$8:$B$247,Personnes!$A39,$BA$8:$BA$247)-'Planning par personne'!F39))</f>
        <v>0</v>
      </c>
      <c r="CQ39" t="n">
        <f>IF(OR(Personnes!$A39="",5&gt;Paramètres!$B$9),0,MAX(0,SUMIF($B$8:$B$247,Personnes!$A39,$BB$8:$BB$247)-'Planning par personne'!G39))</f>
        <v>0</v>
      </c>
      <c r="CR39" t="n">
        <f>IF(OR(Personnes!$A39="",6&gt;Paramètres!$B$9),0,MAX(0,SUMIF($B$8:$B$247,Personnes!$A39,$BC$8:$BC$247)-'Planning par personne'!H39))</f>
        <v>0</v>
      </c>
      <c r="CS39" t="n">
        <f>IF(OR(Personnes!$A39="",7&gt;Paramètres!$B$9),0,MAX(0,SUMIF($B$8:$B$247,Personnes!$A39,$BD$8:$BD$247)-'Planning par personne'!I39))</f>
        <v>0</v>
      </c>
      <c r="CT39" t="n">
        <f>IF(OR(Personnes!$A39="",8&gt;Paramètres!$B$9),0,MAX(0,SUMIF($B$8:$B$247,Personnes!$A39,$BE$8:$BE$247)-'Planning par personne'!J39))</f>
        <v>0</v>
      </c>
      <c r="CU39" t="n">
        <f>IF(OR(Personnes!$A39="",9&gt;Paramètres!$B$9),0,MAX(0,SUMIF($B$8:$B$247,Personnes!$A39,$BF$8:$BF$247)-'Planning par personne'!K39))</f>
        <v>0</v>
      </c>
      <c r="CV39" t="n">
        <f>IF(OR(Personnes!$A39="",10&gt;Paramètres!$B$9),0,MAX(0,SUMIF($B$8:$B$247,Personnes!$A39,$BG$8:$BG$247)-'Planning par personne'!L39))</f>
        <v>0</v>
      </c>
      <c r="CW39" t="n">
        <f>IF(OR(Personnes!$A39="",11&gt;Paramètres!$B$9),0,MAX(0,SUMIF($B$8:$B$247,Personnes!$A39,$BH$8:$BH$247)-'Planning par personne'!M39))</f>
        <v>0</v>
      </c>
      <c r="CX39" t="n">
        <f>IF(OR(Personnes!$A39="",12&gt;Paramètres!$B$9),0,MAX(0,SUMIF($B$8:$B$247,Personnes!$A39,$BI$8:$BI$247)-'Planning par personne'!N39))</f>
        <v>0</v>
      </c>
      <c r="CY39" t="n">
        <f>IF(OR(Personnes!$A39="",13&gt;Paramètres!$B$9),0,MAX(0,SUMIF($B$8:$B$247,Personnes!$A39,$BJ$8:$BJ$247)-'Planning par personne'!O39))</f>
        <v>0</v>
      </c>
      <c r="DJ39" t="n">
        <f>SUM(BM39:BY39)</f>
        <v>0</v>
      </c>
      <c r="DK39" t="n">
        <f>SUM(BZ39:CL39)</f>
        <v>0</v>
      </c>
      <c r="DL39" t="n">
        <f>SUM(CM39:CY39)</f>
        <v>0</v>
      </c>
      <c r="DM39" t="str">
        <f>IF(AND(Projets!A39&lt;&gt;"",Projets!G39="Engager"),DM38&amp;IF(DM38="","",", ")&amp;Projets!B39,DM38)</f>
        <v/>
      </c>
      <c r="DN39" t="str">
        <f>IF(AND(Projets!A39&lt;&gt;"",Projets!G39="Reporter"),DN38&amp;IF(DN38="","",", ")&amp;Projets!B39,DN38)</f>
        <v/>
      </c>
    </row>
    <row r="40">
      <c r="A40" t="n">
        <f>Charges!A40</f>
        <v>0</v>
      </c>
      <c r="B40" t="n">
        <f>Charges!C40</f>
        <v>0</v>
      </c>
      <c r="C40" t="str">
        <f>Charges!D40</f>
        <v/>
      </c>
      <c r="E40" t="n">
        <f>IF(1&lt;=Paramètres!$B$9,MAX(0,IFERROR(N(IF(ISNUMBER(Charges!F40),MAX(0,Charges!F40),IFERROR(VLOOKUP(Charges!F40,Paramètres!$A$15:$B$18,2,FALSE),0))),0)),0)</f>
        <v>0</v>
      </c>
      <c r="F40" t="n">
        <f>IF(2&lt;=Paramètres!$B$9,MAX(0,IFERROR(N(IF(ISNUMBER(Charges!G40),MAX(0,Charges!G40),IFERROR(VLOOKUP(Charges!G40,Paramètres!$A$15:$B$18,2,FALSE),0))),0)),0)</f>
        <v>0</v>
      </c>
      <c r="G40" t="n">
        <f>IF(3&lt;=Paramètres!$B$9,MAX(0,IFERROR(N(IF(ISNUMBER(Charges!H40),MAX(0,Charges!H40),IFERROR(VLOOKUP(Charges!H40,Paramètres!$A$15:$B$18,2,FALSE),0))),0)),0)</f>
        <v>0</v>
      </c>
      <c r="H40" t="n">
        <f>IF(4&lt;=Paramètres!$B$9,MAX(0,IFERROR(N(IF(ISNUMBER(Charges!I40),MAX(0,Charges!I40),IFERROR(VLOOKUP(Charges!I40,Paramètres!$A$15:$B$18,2,FALSE),0))),0)),0)</f>
        <v>0</v>
      </c>
      <c r="I40" t="n">
        <f>IF(5&lt;=Paramètres!$B$9,MAX(0,IFERROR(N(IF(ISNUMBER(Charges!J40),MAX(0,Charges!J40),IFERROR(VLOOKUP(Charges!J40,Paramètres!$A$15:$B$18,2,FALSE),0))),0)),0)</f>
        <v>0</v>
      </c>
      <c r="J40" t="n">
        <f>IF(6&lt;=Paramètres!$B$9,MAX(0,IFERROR(N(IF(ISNUMBER(Charges!K40),MAX(0,Charges!K40),IFERROR(VLOOKUP(Charges!K40,Paramètres!$A$15:$B$18,2,FALSE),0))),0)),0)</f>
        <v>0</v>
      </c>
      <c r="K40" t="n">
        <f>IF(7&lt;=Paramètres!$B$9,MAX(0,IFERROR(N(IF(ISNUMBER(Charges!L40),MAX(0,Charges!L40),IFERROR(VLOOKUP(Charges!L40,Paramètres!$A$15:$B$18,2,FALSE),0))),0)),0)</f>
        <v>0</v>
      </c>
      <c r="L40" t="n">
        <f>IF(8&lt;=Paramètres!$B$9,MAX(0,IFERROR(N(IF(ISNUMBER(Charges!M40),MAX(0,Charges!M40),IFERROR(VLOOKUP(Charges!M40,Paramètres!$A$15:$B$18,2,FALSE),0))),0)),0)</f>
        <v>0</v>
      </c>
      <c r="M40" t="n">
        <f>IF(9&lt;=Paramètres!$B$9,MAX(0,IFERROR(N(IF(ISNUMBER(Charges!N40),MAX(0,Charges!N40),IFERROR(VLOOKUP(Charges!N40,Paramètres!$A$15:$B$18,2,FALSE),0))),0)),0)</f>
        <v>0</v>
      </c>
      <c r="N40" t="n">
        <f>IF(10&lt;=Paramètres!$B$9,MAX(0,IFERROR(N(IF(ISNUMBER(Charges!O40),MAX(0,Charges!O40),IFERROR(VLOOKUP(Charges!O40,Paramètres!$A$15:$B$18,2,FALSE),0))),0)),0)</f>
        <v>0</v>
      </c>
      <c r="O40" t="n">
        <f>IF(11&lt;=Paramètres!$B$9,MAX(0,IFERROR(N(IF(ISNUMBER(Charges!P40),MAX(0,Charges!P40),IFERROR(VLOOKUP(Charges!P40,Paramètres!$A$15:$B$18,2,FALSE),0))),0)),0)</f>
        <v>0</v>
      </c>
      <c r="P40" t="n">
        <f>IF(12&lt;=Paramètres!$B$9,MAX(0,IFERROR(N(IF(ISNUMBER(Charges!Q40),MAX(0,Charges!Q40),IFERROR(VLOOKUP(Charges!Q40,Paramètres!$A$15:$B$18,2,FALSE),0))),0)),0)</f>
        <v>0</v>
      </c>
      <c r="Q40" t="n">
        <f>IF(13&lt;=Paramètres!$B$9,MAX(0,IFERROR(N(IF(ISNUMBER(Charges!R40),MAX(0,Charges!R40),IFERROR(VLOOKUP(Charges!R40,Paramètres!$A$15:$B$18,2,FALSE),0))),0)),0)</f>
        <v>0</v>
      </c>
      <c r="R40" t="n">
        <f>SUM(E40:Q40)</f>
        <v>0</v>
      </c>
      <c r="S40" t="n">
        <f>IF(IFERROR(VLOOKUP(A40,'Projets'!$A$8:$Z$67,7,FALSE),"")="Engager",1,0)</f>
        <v>0</v>
      </c>
      <c r="T40" t="n">
        <f>IF(OR(Charges!F40="",AND(ISNUMBER(Charges!F40),Charges!F40&gt;=0),Charges!F40="S",Charges!F40="M",Charges!F40="L",Charges!F40="XL"),0,1)+IF(OR(Charges!G40="",AND(ISNUMBER(Charges!G40),Charges!G40&gt;=0),Charges!G40="S",Charges!G40="M",Charges!G40="L",Charges!G40="XL"),0,1)+IF(OR(Charges!H40="",AND(ISNUMBER(Charges!H40),Charges!H40&gt;=0),Charges!H40="S",Charges!H40="M",Charges!H40="L",Charges!H40="XL"),0,1)+IF(OR(Charges!I40="",AND(ISNUMBER(Charges!I40),Charges!I40&gt;=0),Charges!I40="S",Charges!I40="M",Charges!I40="L",Charges!I40="XL"),0,1)+IF(OR(Charges!J40="",AND(ISNUMBER(Charges!J40),Charges!J40&gt;=0),Charges!J40="S",Charges!J40="M",Charges!J40="L",Charges!J40="XL"),0,1)+IF(OR(Charges!K40="",AND(ISNUMBER(Charges!K40),Charges!K40&gt;=0),Charges!K40="S",Charges!K40="M",Charges!K40="L",Charges!K40="XL"),0,1)+IF(OR(Charges!L40="",AND(ISNUMBER(Charges!L40),Charges!L40&gt;=0),Charges!L40="S",Charges!L40="M",Charges!L40="L",Charges!L40="XL"),0,1)+IF(OR(Charges!M40="",AND(ISNUMBER(Charges!M40),Charges!M40&gt;=0),Charges!M40="S",Charges!M40="M",Charges!M40="L",Charges!M40="XL"),0,1)+IF(OR(Charges!N40="",AND(ISNUMBER(Charges!N40),Charges!N40&gt;=0),Charges!N40="S",Charges!N40="M",Charges!N40="L",Charges!N40="XL"),0,1)+IF(OR(Charges!O40="",AND(ISNUMBER(Charges!O40),Charges!O40&gt;=0),Charges!O40="S",Charges!O40="M",Charges!O40="L",Charges!O40="XL"),0,1)+IF(OR(Charges!P40="",AND(ISNUMBER(Charges!P40),Charges!P40&gt;=0),Charges!P40="S",Charges!P40="M",Charges!P40="L",Charges!P40="XL"),0,1)+IF(OR(Charges!Q40="",AND(ISNUMBER(Charges!Q40),Charges!Q40&gt;=0),Charges!Q40="S",Charges!Q40="M",Charges!Q40="L",Charges!Q40="XL"),0,1)+IF(OR(Charges!R40="",AND(ISNUMBER(Charges!R40),Charges!R40&gt;=0),Charges!R40="S",Charges!R40="M",Charges!R40="L",Charges!R40="XL"),0,1)</f>
        <v>0</v>
      </c>
      <c r="U40" t="n">
        <f>IF(AND(1&gt;Paramètres!$B$9,Charges!F40&lt;&gt;"",Charges!F40&lt;&gt;0),1,0)+IF(AND(2&gt;Paramètres!$B$9,Charges!G40&lt;&gt;"",Charges!G40&lt;&gt;0),1,0)+IF(AND(3&gt;Paramètres!$B$9,Charges!H40&lt;&gt;"",Charges!H40&lt;&gt;0),1,0)+IF(AND(4&gt;Paramètres!$B$9,Charges!I40&lt;&gt;"",Charges!I40&lt;&gt;0),1,0)+IF(AND(5&gt;Paramètres!$B$9,Charges!J40&lt;&gt;"",Charges!J40&lt;&gt;0),1,0)+IF(AND(6&gt;Paramètres!$B$9,Charges!K40&lt;&gt;"",Charges!K40&lt;&gt;0),1,0)+IF(AND(7&gt;Paramètres!$B$9,Charges!L40&lt;&gt;"",Charges!L40&lt;&gt;0),1,0)+IF(AND(8&gt;Paramètres!$B$9,Charges!M40&lt;&gt;"",Charges!M40&lt;&gt;0),1,0)+IF(AND(9&gt;Paramètres!$B$9,Charges!N40&lt;&gt;"",Charges!N40&lt;&gt;0),1,0)+IF(AND(10&gt;Paramètres!$B$9,Charges!O40&lt;&gt;"",Charges!O40&lt;&gt;0),1,0)+IF(AND(11&gt;Paramètres!$B$9,Charges!P40&lt;&gt;"",Charges!P40&lt;&gt;0),1,0)+IF(AND(12&gt;Paramètres!$B$9,Charges!Q40&lt;&gt;"",Charges!Q40&lt;&gt;0),1,0)+IF(AND(13&gt;Paramètres!$B$9,Charges!R40&lt;&gt;"",Charges!R40&lt;&gt;0),1,0)</f>
        <v>0</v>
      </c>
      <c r="V40" t="n">
        <f>IF(IFERROR(VLOOKUP(A40,'Projets'!$A$8:$Z$67,5,FALSE),"")="Engager",1,0)</f>
        <v>0</v>
      </c>
      <c r="W40" t="n">
        <f>IF(IFERROR(VLOOKUP(A40,'Projets'!$A$8:$Z$67,6,FALSE),"")="Engager",1,0)</f>
        <v>0</v>
      </c>
      <c r="X40" t="n">
        <f>E40*S40</f>
        <v>0</v>
      </c>
      <c r="Y40" t="n">
        <f>F40*S40</f>
        <v>0</v>
      </c>
      <c r="Z40" t="n">
        <f>G40*S40</f>
        <v>0</v>
      </c>
      <c r="AA40" t="n">
        <f>H40*S40</f>
        <v>0</v>
      </c>
      <c r="AB40" t="n">
        <f>I40*S40</f>
        <v>0</v>
      </c>
      <c r="AC40" t="n">
        <f>J40*S40</f>
        <v>0</v>
      </c>
      <c r="AD40" t="n">
        <f>K40*S40</f>
        <v>0</v>
      </c>
      <c r="AE40" t="n">
        <f>L40*S40</f>
        <v>0</v>
      </c>
      <c r="AF40" t="n">
        <f>M40*S40</f>
        <v>0</v>
      </c>
      <c r="AG40" t="n">
        <f>N40*S40</f>
        <v>0</v>
      </c>
      <c r="AH40" t="n">
        <f>O40*S40</f>
        <v>0</v>
      </c>
      <c r="AI40" t="n">
        <f>P40*S40</f>
        <v>0</v>
      </c>
      <c r="AJ40" t="n">
        <f>Q40*S40</f>
        <v>0</v>
      </c>
      <c r="AK40" t="n">
        <f>E40*V40</f>
        <v>0</v>
      </c>
      <c r="AL40" t="n">
        <f>F40*V40</f>
        <v>0</v>
      </c>
      <c r="AM40" t="n">
        <f>G40*V40</f>
        <v>0</v>
      </c>
      <c r="AN40" t="n">
        <f>H40*V40</f>
        <v>0</v>
      </c>
      <c r="AO40" t="n">
        <f>I40*V40</f>
        <v>0</v>
      </c>
      <c r="AP40" t="n">
        <f>J40*V40</f>
        <v>0</v>
      </c>
      <c r="AQ40" t="n">
        <f>K40*V40</f>
        <v>0</v>
      </c>
      <c r="AR40" t="n">
        <f>L40*V40</f>
        <v>0</v>
      </c>
      <c r="AS40" t="n">
        <f>M40*V40</f>
        <v>0</v>
      </c>
      <c r="AT40" t="n">
        <f>N40*V40</f>
        <v>0</v>
      </c>
      <c r="AU40" t="n">
        <f>O40*V40</f>
        <v>0</v>
      </c>
      <c r="AV40" t="n">
        <f>P40*V40</f>
        <v>0</v>
      </c>
      <c r="AW40" t="n">
        <f>Q40*V40</f>
        <v>0</v>
      </c>
      <c r="AX40" t="n">
        <f>E40*W40</f>
        <v>0</v>
      </c>
      <c r="AY40" t="n">
        <f>F40*W40</f>
        <v>0</v>
      </c>
      <c r="AZ40" t="n">
        <f>G40*W40</f>
        <v>0</v>
      </c>
      <c r="BA40" t="n">
        <f>H40*W40</f>
        <v>0</v>
      </c>
      <c r="BB40" t="n">
        <f>I40*W40</f>
        <v>0</v>
      </c>
      <c r="BC40" t="n">
        <f>J40*W40</f>
        <v>0</v>
      </c>
      <c r="BD40" t="n">
        <f>K40*W40</f>
        <v>0</v>
      </c>
      <c r="BE40" t="n">
        <f>L40*W40</f>
        <v>0</v>
      </c>
      <c r="BF40" t="n">
        <f>M40*W40</f>
        <v>0</v>
      </c>
      <c r="BG40" t="n">
        <f>N40*W40</f>
        <v>0</v>
      </c>
      <c r="BH40" t="n">
        <f>O40*W40</f>
        <v>0</v>
      </c>
      <c r="BI40" t="n">
        <f>P40*W40</f>
        <v>0</v>
      </c>
      <c r="BJ40" t="n">
        <f>Q40*W40</f>
        <v>0</v>
      </c>
      <c r="BM40" t="n">
        <f>IF(OR(Personnes!$A40="",1&gt;Paramètres!$B$9),0,MAX(0,SUMIF($B$8:$B$247,Personnes!$A40,$E$8:$E$247)-'Planning par personne'!C40))</f>
        <v>0</v>
      </c>
      <c r="BN40" t="n">
        <f>IF(OR(Personnes!$A40="",2&gt;Paramètres!$B$9),0,MAX(0,SUMIF($B$8:$B$247,Personnes!$A40,$F$8:$F$247)-'Planning par personne'!D40))</f>
        <v>0</v>
      </c>
      <c r="BO40" t="n">
        <f>IF(OR(Personnes!$A40="",3&gt;Paramètres!$B$9),0,MAX(0,SUMIF($B$8:$B$247,Personnes!$A40,$G$8:$G$247)-'Planning par personne'!E40))</f>
        <v>0</v>
      </c>
      <c r="BP40" t="n">
        <f>IF(OR(Personnes!$A40="",4&gt;Paramètres!$B$9),0,MAX(0,SUMIF($B$8:$B$247,Personnes!$A40,$H$8:$H$247)-'Planning par personne'!F40))</f>
        <v>0</v>
      </c>
      <c r="BQ40" t="n">
        <f>IF(OR(Personnes!$A40="",5&gt;Paramètres!$B$9),0,MAX(0,SUMIF($B$8:$B$247,Personnes!$A40,$I$8:$I$247)-'Planning par personne'!G40))</f>
        <v>0</v>
      </c>
      <c r="BR40" t="n">
        <f>IF(OR(Personnes!$A40="",6&gt;Paramètres!$B$9),0,MAX(0,SUMIF($B$8:$B$247,Personnes!$A40,$J$8:$J$247)-'Planning par personne'!H40))</f>
        <v>0</v>
      </c>
      <c r="BS40" t="n">
        <f>IF(OR(Personnes!$A40="",7&gt;Paramètres!$B$9),0,MAX(0,SUMIF($B$8:$B$247,Personnes!$A40,$K$8:$K$247)-'Planning par personne'!I40))</f>
        <v>0</v>
      </c>
      <c r="BT40" t="n">
        <f>IF(OR(Personnes!$A40="",8&gt;Paramètres!$B$9),0,MAX(0,SUMIF($B$8:$B$247,Personnes!$A40,$L$8:$L$247)-'Planning par personne'!J40))</f>
        <v>0</v>
      </c>
      <c r="BU40" t="n">
        <f>IF(OR(Personnes!$A40="",9&gt;Paramètres!$B$9),0,MAX(0,SUMIF($B$8:$B$247,Personnes!$A40,$M$8:$M$247)-'Planning par personne'!K40))</f>
        <v>0</v>
      </c>
      <c r="BV40" t="n">
        <f>IF(OR(Personnes!$A40="",10&gt;Paramètres!$B$9),0,MAX(0,SUMIF($B$8:$B$247,Personnes!$A40,$N$8:$N$247)-'Planning par personne'!L40))</f>
        <v>0</v>
      </c>
      <c r="BW40" t="n">
        <f>IF(OR(Personnes!$A40="",11&gt;Paramètres!$B$9),0,MAX(0,SUMIF($B$8:$B$247,Personnes!$A40,$O$8:$O$247)-'Planning par personne'!M40))</f>
        <v>0</v>
      </c>
      <c r="BX40" t="n">
        <f>IF(OR(Personnes!$A40="",12&gt;Paramètres!$B$9),0,MAX(0,SUMIF($B$8:$B$247,Personnes!$A40,$P$8:$P$247)-'Planning par personne'!N40))</f>
        <v>0</v>
      </c>
      <c r="BY40" t="n">
        <f>IF(OR(Personnes!$A40="",13&gt;Paramètres!$B$9),0,MAX(0,SUMIF($B$8:$B$247,Personnes!$A40,$Q$8:$Q$247)-'Planning par personne'!O40))</f>
        <v>0</v>
      </c>
      <c r="BZ40" t="n">
        <f>IF(OR(Personnes!$A40="",1&gt;Paramètres!$B$9),0,MAX(0,SUMIF($B$8:$B$247,Personnes!$A40,$AK$8:$AK$247)-'Planning par personne'!C40))</f>
        <v>0</v>
      </c>
      <c r="CA40" t="n">
        <f>IF(OR(Personnes!$A40="",2&gt;Paramètres!$B$9),0,MAX(0,SUMIF($B$8:$B$247,Personnes!$A40,$AL$8:$AL$247)-'Planning par personne'!D40))</f>
        <v>0</v>
      </c>
      <c r="CB40" t="n">
        <f>IF(OR(Personnes!$A40="",3&gt;Paramètres!$B$9),0,MAX(0,SUMIF($B$8:$B$247,Personnes!$A40,$AM$8:$AM$247)-'Planning par personne'!E40))</f>
        <v>0</v>
      </c>
      <c r="CC40" t="n">
        <f>IF(OR(Personnes!$A40="",4&gt;Paramètres!$B$9),0,MAX(0,SUMIF($B$8:$B$247,Personnes!$A40,$AN$8:$AN$247)-'Planning par personne'!F40))</f>
        <v>0</v>
      </c>
      <c r="CD40" t="n">
        <f>IF(OR(Personnes!$A40="",5&gt;Paramètres!$B$9),0,MAX(0,SUMIF($B$8:$B$247,Personnes!$A40,$AO$8:$AO$247)-'Planning par personne'!G40))</f>
        <v>0</v>
      </c>
      <c r="CE40" t="n">
        <f>IF(OR(Personnes!$A40="",6&gt;Paramètres!$B$9),0,MAX(0,SUMIF($B$8:$B$247,Personnes!$A40,$AP$8:$AP$247)-'Planning par personne'!H40))</f>
        <v>0</v>
      </c>
      <c r="CF40" t="n">
        <f>IF(OR(Personnes!$A40="",7&gt;Paramètres!$B$9),0,MAX(0,SUMIF($B$8:$B$247,Personnes!$A40,$AQ$8:$AQ$247)-'Planning par personne'!I40))</f>
        <v>0</v>
      </c>
      <c r="CG40" t="n">
        <f>IF(OR(Personnes!$A40="",8&gt;Paramètres!$B$9),0,MAX(0,SUMIF($B$8:$B$247,Personnes!$A40,$AR$8:$AR$247)-'Planning par personne'!J40))</f>
        <v>0</v>
      </c>
      <c r="CH40" t="n">
        <f>IF(OR(Personnes!$A40="",9&gt;Paramètres!$B$9),0,MAX(0,SUMIF($B$8:$B$247,Personnes!$A40,$AS$8:$AS$247)-'Planning par personne'!K40))</f>
        <v>0</v>
      </c>
      <c r="CI40" t="n">
        <f>IF(OR(Personnes!$A40="",10&gt;Paramètres!$B$9),0,MAX(0,SUMIF($B$8:$B$247,Personnes!$A40,$AT$8:$AT$247)-'Planning par personne'!L40))</f>
        <v>0</v>
      </c>
      <c r="CJ40" t="n">
        <f>IF(OR(Personnes!$A40="",11&gt;Paramètres!$B$9),0,MAX(0,SUMIF($B$8:$B$247,Personnes!$A40,$AU$8:$AU$247)-'Planning par personne'!M40))</f>
        <v>0</v>
      </c>
      <c r="CK40" t="n">
        <f>IF(OR(Personnes!$A40="",12&gt;Paramètres!$B$9),0,MAX(0,SUMIF($B$8:$B$247,Personnes!$A40,$AV$8:$AV$247)-'Planning par personne'!N40))</f>
        <v>0</v>
      </c>
      <c r="CL40" t="n">
        <f>IF(OR(Personnes!$A40="",13&gt;Paramètres!$B$9),0,MAX(0,SUMIF($B$8:$B$247,Personnes!$A40,$AW$8:$AW$247)-'Planning par personne'!O40))</f>
        <v>0</v>
      </c>
      <c r="CM40" t="n">
        <f>IF(OR(Personnes!$A40="",1&gt;Paramètres!$B$9),0,MAX(0,SUMIF($B$8:$B$247,Personnes!$A40,$AX$8:$AX$247)-'Planning par personne'!C40))</f>
        <v>0</v>
      </c>
      <c r="CN40" t="n">
        <f>IF(OR(Personnes!$A40="",2&gt;Paramètres!$B$9),0,MAX(0,SUMIF($B$8:$B$247,Personnes!$A40,$AY$8:$AY$247)-'Planning par personne'!D40))</f>
        <v>0</v>
      </c>
      <c r="CO40" t="n">
        <f>IF(OR(Personnes!$A40="",3&gt;Paramètres!$B$9),0,MAX(0,SUMIF($B$8:$B$247,Personnes!$A40,$AZ$8:$AZ$247)-'Planning par personne'!E40))</f>
        <v>0</v>
      </c>
      <c r="CP40" t="n">
        <f>IF(OR(Personnes!$A40="",4&gt;Paramètres!$B$9),0,MAX(0,SUMIF($B$8:$B$247,Personnes!$A40,$BA$8:$BA$247)-'Planning par personne'!F40))</f>
        <v>0</v>
      </c>
      <c r="CQ40" t="n">
        <f>IF(OR(Personnes!$A40="",5&gt;Paramètres!$B$9),0,MAX(0,SUMIF($B$8:$B$247,Personnes!$A40,$BB$8:$BB$247)-'Planning par personne'!G40))</f>
        <v>0</v>
      </c>
      <c r="CR40" t="n">
        <f>IF(OR(Personnes!$A40="",6&gt;Paramètres!$B$9),0,MAX(0,SUMIF($B$8:$B$247,Personnes!$A40,$BC$8:$BC$247)-'Planning par personne'!H40))</f>
        <v>0</v>
      </c>
      <c r="CS40" t="n">
        <f>IF(OR(Personnes!$A40="",7&gt;Paramètres!$B$9),0,MAX(0,SUMIF($B$8:$B$247,Personnes!$A40,$BD$8:$BD$247)-'Planning par personne'!I40))</f>
        <v>0</v>
      </c>
      <c r="CT40" t="n">
        <f>IF(OR(Personnes!$A40="",8&gt;Paramètres!$B$9),0,MAX(0,SUMIF($B$8:$B$247,Personnes!$A40,$BE$8:$BE$247)-'Planning par personne'!J40))</f>
        <v>0</v>
      </c>
      <c r="CU40" t="n">
        <f>IF(OR(Personnes!$A40="",9&gt;Paramètres!$B$9),0,MAX(0,SUMIF($B$8:$B$247,Personnes!$A40,$BF$8:$BF$247)-'Planning par personne'!K40))</f>
        <v>0</v>
      </c>
      <c r="CV40" t="n">
        <f>IF(OR(Personnes!$A40="",10&gt;Paramètres!$B$9),0,MAX(0,SUMIF($B$8:$B$247,Personnes!$A40,$BG$8:$BG$247)-'Planning par personne'!L40))</f>
        <v>0</v>
      </c>
      <c r="CW40" t="n">
        <f>IF(OR(Personnes!$A40="",11&gt;Paramètres!$B$9),0,MAX(0,SUMIF($B$8:$B$247,Personnes!$A40,$BH$8:$BH$247)-'Planning par personne'!M40))</f>
        <v>0</v>
      </c>
      <c r="CX40" t="n">
        <f>IF(OR(Personnes!$A40="",12&gt;Paramètres!$B$9),0,MAX(0,SUMIF($B$8:$B$247,Personnes!$A40,$BI$8:$BI$247)-'Planning par personne'!N40))</f>
        <v>0</v>
      </c>
      <c r="CY40" t="n">
        <f>IF(OR(Personnes!$A40="",13&gt;Paramètres!$B$9),0,MAX(0,SUMIF($B$8:$B$247,Personnes!$A40,$BJ$8:$BJ$247)-'Planning par personne'!O40))</f>
        <v>0</v>
      </c>
      <c r="DJ40" t="n">
        <f>SUM(BM40:BY40)</f>
        <v>0</v>
      </c>
      <c r="DK40" t="n">
        <f>SUM(BZ40:CL40)</f>
        <v>0</v>
      </c>
      <c r="DL40" t="n">
        <f>SUM(CM40:CY40)</f>
        <v>0</v>
      </c>
      <c r="DM40" t="str">
        <f>IF(AND(Projets!A40&lt;&gt;"",Projets!G40="Engager"),DM39&amp;IF(DM39="","",", ")&amp;Projets!B40,DM39)</f>
        <v/>
      </c>
      <c r="DN40" t="str">
        <f>IF(AND(Projets!A40&lt;&gt;"",Projets!G40="Reporter"),DN39&amp;IF(DN39="","",", ")&amp;Projets!B40,DN39)</f>
        <v/>
      </c>
    </row>
    <row r="41">
      <c r="A41" t="n">
        <f>Charges!A41</f>
        <v>0</v>
      </c>
      <c r="B41" t="n">
        <f>Charges!C41</f>
        <v>0</v>
      </c>
      <c r="C41" t="str">
        <f>Charges!D41</f>
        <v/>
      </c>
      <c r="E41" t="n">
        <f>IF(1&lt;=Paramètres!$B$9,MAX(0,IFERROR(N(IF(ISNUMBER(Charges!F41),MAX(0,Charges!F41),IFERROR(VLOOKUP(Charges!F41,Paramètres!$A$15:$B$18,2,FALSE),0))),0)),0)</f>
        <v>0</v>
      </c>
      <c r="F41" t="n">
        <f>IF(2&lt;=Paramètres!$B$9,MAX(0,IFERROR(N(IF(ISNUMBER(Charges!G41),MAX(0,Charges!G41),IFERROR(VLOOKUP(Charges!G41,Paramètres!$A$15:$B$18,2,FALSE),0))),0)),0)</f>
        <v>0</v>
      </c>
      <c r="G41" t="n">
        <f>IF(3&lt;=Paramètres!$B$9,MAX(0,IFERROR(N(IF(ISNUMBER(Charges!H41),MAX(0,Charges!H41),IFERROR(VLOOKUP(Charges!H41,Paramètres!$A$15:$B$18,2,FALSE),0))),0)),0)</f>
        <v>0</v>
      </c>
      <c r="H41" t="n">
        <f>IF(4&lt;=Paramètres!$B$9,MAX(0,IFERROR(N(IF(ISNUMBER(Charges!I41),MAX(0,Charges!I41),IFERROR(VLOOKUP(Charges!I41,Paramètres!$A$15:$B$18,2,FALSE),0))),0)),0)</f>
        <v>0</v>
      </c>
      <c r="I41" t="n">
        <f>IF(5&lt;=Paramètres!$B$9,MAX(0,IFERROR(N(IF(ISNUMBER(Charges!J41),MAX(0,Charges!J41),IFERROR(VLOOKUP(Charges!J41,Paramètres!$A$15:$B$18,2,FALSE),0))),0)),0)</f>
        <v>0</v>
      </c>
      <c r="J41" t="n">
        <f>IF(6&lt;=Paramètres!$B$9,MAX(0,IFERROR(N(IF(ISNUMBER(Charges!K41),MAX(0,Charges!K41),IFERROR(VLOOKUP(Charges!K41,Paramètres!$A$15:$B$18,2,FALSE),0))),0)),0)</f>
        <v>0</v>
      </c>
      <c r="K41" t="n">
        <f>IF(7&lt;=Paramètres!$B$9,MAX(0,IFERROR(N(IF(ISNUMBER(Charges!L41),MAX(0,Charges!L41),IFERROR(VLOOKUP(Charges!L41,Paramètres!$A$15:$B$18,2,FALSE),0))),0)),0)</f>
        <v>0</v>
      </c>
      <c r="L41" t="n">
        <f>IF(8&lt;=Paramètres!$B$9,MAX(0,IFERROR(N(IF(ISNUMBER(Charges!M41),MAX(0,Charges!M41),IFERROR(VLOOKUP(Charges!M41,Paramètres!$A$15:$B$18,2,FALSE),0))),0)),0)</f>
        <v>0</v>
      </c>
      <c r="M41" t="n">
        <f>IF(9&lt;=Paramètres!$B$9,MAX(0,IFERROR(N(IF(ISNUMBER(Charges!N41),MAX(0,Charges!N41),IFERROR(VLOOKUP(Charges!N41,Paramètres!$A$15:$B$18,2,FALSE),0))),0)),0)</f>
        <v>0</v>
      </c>
      <c r="N41" t="n">
        <f>IF(10&lt;=Paramètres!$B$9,MAX(0,IFERROR(N(IF(ISNUMBER(Charges!O41),MAX(0,Charges!O41),IFERROR(VLOOKUP(Charges!O41,Paramètres!$A$15:$B$18,2,FALSE),0))),0)),0)</f>
        <v>0</v>
      </c>
      <c r="O41" t="n">
        <f>IF(11&lt;=Paramètres!$B$9,MAX(0,IFERROR(N(IF(ISNUMBER(Charges!P41),MAX(0,Charges!P41),IFERROR(VLOOKUP(Charges!P41,Paramètres!$A$15:$B$18,2,FALSE),0))),0)),0)</f>
        <v>0</v>
      </c>
      <c r="P41" t="n">
        <f>IF(12&lt;=Paramètres!$B$9,MAX(0,IFERROR(N(IF(ISNUMBER(Charges!Q41),MAX(0,Charges!Q41),IFERROR(VLOOKUP(Charges!Q41,Paramètres!$A$15:$B$18,2,FALSE),0))),0)),0)</f>
        <v>0</v>
      </c>
      <c r="Q41" t="n">
        <f>IF(13&lt;=Paramètres!$B$9,MAX(0,IFERROR(N(IF(ISNUMBER(Charges!R41),MAX(0,Charges!R41),IFERROR(VLOOKUP(Charges!R41,Paramètres!$A$15:$B$18,2,FALSE),0))),0)),0)</f>
        <v>0</v>
      </c>
      <c r="R41" t="n">
        <f>SUM(E41:Q41)</f>
        <v>0</v>
      </c>
      <c r="S41" t="n">
        <f>IF(IFERROR(VLOOKUP(A41,'Projets'!$A$8:$Z$67,7,FALSE),"")="Engager",1,0)</f>
        <v>0</v>
      </c>
      <c r="T41" t="n">
        <f>IF(OR(Charges!F41="",AND(ISNUMBER(Charges!F41),Charges!F41&gt;=0),Charges!F41="S",Charges!F41="M",Charges!F41="L",Charges!F41="XL"),0,1)+IF(OR(Charges!G41="",AND(ISNUMBER(Charges!G41),Charges!G41&gt;=0),Charges!G41="S",Charges!G41="M",Charges!G41="L",Charges!G41="XL"),0,1)+IF(OR(Charges!H41="",AND(ISNUMBER(Charges!H41),Charges!H41&gt;=0),Charges!H41="S",Charges!H41="M",Charges!H41="L",Charges!H41="XL"),0,1)+IF(OR(Charges!I41="",AND(ISNUMBER(Charges!I41),Charges!I41&gt;=0),Charges!I41="S",Charges!I41="M",Charges!I41="L",Charges!I41="XL"),0,1)+IF(OR(Charges!J41="",AND(ISNUMBER(Charges!J41),Charges!J41&gt;=0),Charges!J41="S",Charges!J41="M",Charges!J41="L",Charges!J41="XL"),0,1)+IF(OR(Charges!K41="",AND(ISNUMBER(Charges!K41),Charges!K41&gt;=0),Charges!K41="S",Charges!K41="M",Charges!K41="L",Charges!K41="XL"),0,1)+IF(OR(Charges!L41="",AND(ISNUMBER(Charges!L41),Charges!L41&gt;=0),Charges!L41="S",Charges!L41="M",Charges!L41="L",Charges!L41="XL"),0,1)+IF(OR(Charges!M41="",AND(ISNUMBER(Charges!M41),Charges!M41&gt;=0),Charges!M41="S",Charges!M41="M",Charges!M41="L",Charges!M41="XL"),0,1)+IF(OR(Charges!N41="",AND(ISNUMBER(Charges!N41),Charges!N41&gt;=0),Charges!N41="S",Charges!N41="M",Charges!N41="L",Charges!N41="XL"),0,1)+IF(OR(Charges!O41="",AND(ISNUMBER(Charges!O41),Charges!O41&gt;=0),Charges!O41="S",Charges!O41="M",Charges!O41="L",Charges!O41="XL"),0,1)+IF(OR(Charges!P41="",AND(ISNUMBER(Charges!P41),Charges!P41&gt;=0),Charges!P41="S",Charges!P41="M",Charges!P41="L",Charges!P41="XL"),0,1)+IF(OR(Charges!Q41="",AND(ISNUMBER(Charges!Q41),Charges!Q41&gt;=0),Charges!Q41="S",Charges!Q41="M",Charges!Q41="L",Charges!Q41="XL"),0,1)+IF(OR(Charges!R41="",AND(ISNUMBER(Charges!R41),Charges!R41&gt;=0),Charges!R41="S",Charges!R41="M",Charges!R41="L",Charges!R41="XL"),0,1)</f>
        <v>0</v>
      </c>
      <c r="U41" t="n">
        <f>IF(AND(1&gt;Paramètres!$B$9,Charges!F41&lt;&gt;"",Charges!F41&lt;&gt;0),1,0)+IF(AND(2&gt;Paramètres!$B$9,Charges!G41&lt;&gt;"",Charges!G41&lt;&gt;0),1,0)+IF(AND(3&gt;Paramètres!$B$9,Charges!H41&lt;&gt;"",Charges!H41&lt;&gt;0),1,0)+IF(AND(4&gt;Paramètres!$B$9,Charges!I41&lt;&gt;"",Charges!I41&lt;&gt;0),1,0)+IF(AND(5&gt;Paramètres!$B$9,Charges!J41&lt;&gt;"",Charges!J41&lt;&gt;0),1,0)+IF(AND(6&gt;Paramètres!$B$9,Charges!K41&lt;&gt;"",Charges!K41&lt;&gt;0),1,0)+IF(AND(7&gt;Paramètres!$B$9,Charges!L41&lt;&gt;"",Charges!L41&lt;&gt;0),1,0)+IF(AND(8&gt;Paramètres!$B$9,Charges!M41&lt;&gt;"",Charges!M41&lt;&gt;0),1,0)+IF(AND(9&gt;Paramètres!$B$9,Charges!N41&lt;&gt;"",Charges!N41&lt;&gt;0),1,0)+IF(AND(10&gt;Paramètres!$B$9,Charges!O41&lt;&gt;"",Charges!O41&lt;&gt;0),1,0)+IF(AND(11&gt;Paramètres!$B$9,Charges!P41&lt;&gt;"",Charges!P41&lt;&gt;0),1,0)+IF(AND(12&gt;Paramètres!$B$9,Charges!Q41&lt;&gt;"",Charges!Q41&lt;&gt;0),1,0)+IF(AND(13&gt;Paramètres!$B$9,Charges!R41&lt;&gt;"",Charges!R41&lt;&gt;0),1,0)</f>
        <v>0</v>
      </c>
      <c r="V41" t="n">
        <f>IF(IFERROR(VLOOKUP(A41,'Projets'!$A$8:$Z$67,5,FALSE),"")="Engager",1,0)</f>
        <v>0</v>
      </c>
      <c r="W41" t="n">
        <f>IF(IFERROR(VLOOKUP(A41,'Projets'!$A$8:$Z$67,6,FALSE),"")="Engager",1,0)</f>
        <v>0</v>
      </c>
      <c r="X41" t="n">
        <f>E41*S41</f>
        <v>0</v>
      </c>
      <c r="Y41" t="n">
        <f>F41*S41</f>
        <v>0</v>
      </c>
      <c r="Z41" t="n">
        <f>G41*S41</f>
        <v>0</v>
      </c>
      <c r="AA41" t="n">
        <f>H41*S41</f>
        <v>0</v>
      </c>
      <c r="AB41" t="n">
        <f>I41*S41</f>
        <v>0</v>
      </c>
      <c r="AC41" t="n">
        <f>J41*S41</f>
        <v>0</v>
      </c>
      <c r="AD41" t="n">
        <f>K41*S41</f>
        <v>0</v>
      </c>
      <c r="AE41" t="n">
        <f>L41*S41</f>
        <v>0</v>
      </c>
      <c r="AF41" t="n">
        <f>M41*S41</f>
        <v>0</v>
      </c>
      <c r="AG41" t="n">
        <f>N41*S41</f>
        <v>0</v>
      </c>
      <c r="AH41" t="n">
        <f>O41*S41</f>
        <v>0</v>
      </c>
      <c r="AI41" t="n">
        <f>P41*S41</f>
        <v>0</v>
      </c>
      <c r="AJ41" t="n">
        <f>Q41*S41</f>
        <v>0</v>
      </c>
      <c r="AK41" t="n">
        <f>E41*V41</f>
        <v>0</v>
      </c>
      <c r="AL41" t="n">
        <f>F41*V41</f>
        <v>0</v>
      </c>
      <c r="AM41" t="n">
        <f>G41*V41</f>
        <v>0</v>
      </c>
      <c r="AN41" t="n">
        <f>H41*V41</f>
        <v>0</v>
      </c>
      <c r="AO41" t="n">
        <f>I41*V41</f>
        <v>0</v>
      </c>
      <c r="AP41" t="n">
        <f>J41*V41</f>
        <v>0</v>
      </c>
      <c r="AQ41" t="n">
        <f>K41*V41</f>
        <v>0</v>
      </c>
      <c r="AR41" t="n">
        <f>L41*V41</f>
        <v>0</v>
      </c>
      <c r="AS41" t="n">
        <f>M41*V41</f>
        <v>0</v>
      </c>
      <c r="AT41" t="n">
        <f>N41*V41</f>
        <v>0</v>
      </c>
      <c r="AU41" t="n">
        <f>O41*V41</f>
        <v>0</v>
      </c>
      <c r="AV41" t="n">
        <f>P41*V41</f>
        <v>0</v>
      </c>
      <c r="AW41" t="n">
        <f>Q41*V41</f>
        <v>0</v>
      </c>
      <c r="AX41" t="n">
        <f>E41*W41</f>
        <v>0</v>
      </c>
      <c r="AY41" t="n">
        <f>F41*W41</f>
        <v>0</v>
      </c>
      <c r="AZ41" t="n">
        <f>G41*W41</f>
        <v>0</v>
      </c>
      <c r="BA41" t="n">
        <f>H41*W41</f>
        <v>0</v>
      </c>
      <c r="BB41" t="n">
        <f>I41*W41</f>
        <v>0</v>
      </c>
      <c r="BC41" t="n">
        <f>J41*W41</f>
        <v>0</v>
      </c>
      <c r="BD41" t="n">
        <f>K41*W41</f>
        <v>0</v>
      </c>
      <c r="BE41" t="n">
        <f>L41*W41</f>
        <v>0</v>
      </c>
      <c r="BF41" t="n">
        <f>M41*W41</f>
        <v>0</v>
      </c>
      <c r="BG41" t="n">
        <f>N41*W41</f>
        <v>0</v>
      </c>
      <c r="BH41" t="n">
        <f>O41*W41</f>
        <v>0</v>
      </c>
      <c r="BI41" t="n">
        <f>P41*W41</f>
        <v>0</v>
      </c>
      <c r="BJ41" t="n">
        <f>Q41*W41</f>
        <v>0</v>
      </c>
      <c r="BM41" t="n">
        <f>IF(OR(Personnes!$A41="",1&gt;Paramètres!$B$9),0,MAX(0,SUMIF($B$8:$B$247,Personnes!$A41,$E$8:$E$247)-'Planning par personne'!C41))</f>
        <v>0</v>
      </c>
      <c r="BN41" t="n">
        <f>IF(OR(Personnes!$A41="",2&gt;Paramètres!$B$9),0,MAX(0,SUMIF($B$8:$B$247,Personnes!$A41,$F$8:$F$247)-'Planning par personne'!D41))</f>
        <v>0</v>
      </c>
      <c r="BO41" t="n">
        <f>IF(OR(Personnes!$A41="",3&gt;Paramètres!$B$9),0,MAX(0,SUMIF($B$8:$B$247,Personnes!$A41,$G$8:$G$247)-'Planning par personne'!E41))</f>
        <v>0</v>
      </c>
      <c r="BP41" t="n">
        <f>IF(OR(Personnes!$A41="",4&gt;Paramètres!$B$9),0,MAX(0,SUMIF($B$8:$B$247,Personnes!$A41,$H$8:$H$247)-'Planning par personne'!F41))</f>
        <v>0</v>
      </c>
      <c r="BQ41" t="n">
        <f>IF(OR(Personnes!$A41="",5&gt;Paramètres!$B$9),0,MAX(0,SUMIF($B$8:$B$247,Personnes!$A41,$I$8:$I$247)-'Planning par personne'!G41))</f>
        <v>0</v>
      </c>
      <c r="BR41" t="n">
        <f>IF(OR(Personnes!$A41="",6&gt;Paramètres!$B$9),0,MAX(0,SUMIF($B$8:$B$247,Personnes!$A41,$J$8:$J$247)-'Planning par personne'!H41))</f>
        <v>0</v>
      </c>
      <c r="BS41" t="n">
        <f>IF(OR(Personnes!$A41="",7&gt;Paramètres!$B$9),0,MAX(0,SUMIF($B$8:$B$247,Personnes!$A41,$K$8:$K$247)-'Planning par personne'!I41))</f>
        <v>0</v>
      </c>
      <c r="BT41" t="n">
        <f>IF(OR(Personnes!$A41="",8&gt;Paramètres!$B$9),0,MAX(0,SUMIF($B$8:$B$247,Personnes!$A41,$L$8:$L$247)-'Planning par personne'!J41))</f>
        <v>0</v>
      </c>
      <c r="BU41" t="n">
        <f>IF(OR(Personnes!$A41="",9&gt;Paramètres!$B$9),0,MAX(0,SUMIF($B$8:$B$247,Personnes!$A41,$M$8:$M$247)-'Planning par personne'!K41))</f>
        <v>0</v>
      </c>
      <c r="BV41" t="n">
        <f>IF(OR(Personnes!$A41="",10&gt;Paramètres!$B$9),0,MAX(0,SUMIF($B$8:$B$247,Personnes!$A41,$N$8:$N$247)-'Planning par personne'!L41))</f>
        <v>0</v>
      </c>
      <c r="BW41" t="n">
        <f>IF(OR(Personnes!$A41="",11&gt;Paramètres!$B$9),0,MAX(0,SUMIF($B$8:$B$247,Personnes!$A41,$O$8:$O$247)-'Planning par personne'!M41))</f>
        <v>0</v>
      </c>
      <c r="BX41" t="n">
        <f>IF(OR(Personnes!$A41="",12&gt;Paramètres!$B$9),0,MAX(0,SUMIF($B$8:$B$247,Personnes!$A41,$P$8:$P$247)-'Planning par personne'!N41))</f>
        <v>0</v>
      </c>
      <c r="BY41" t="n">
        <f>IF(OR(Personnes!$A41="",13&gt;Paramètres!$B$9),0,MAX(0,SUMIF($B$8:$B$247,Personnes!$A41,$Q$8:$Q$247)-'Planning par personne'!O41))</f>
        <v>0</v>
      </c>
      <c r="BZ41" t="n">
        <f>IF(OR(Personnes!$A41="",1&gt;Paramètres!$B$9),0,MAX(0,SUMIF($B$8:$B$247,Personnes!$A41,$AK$8:$AK$247)-'Planning par personne'!C41))</f>
        <v>0</v>
      </c>
      <c r="CA41" t="n">
        <f>IF(OR(Personnes!$A41="",2&gt;Paramètres!$B$9),0,MAX(0,SUMIF($B$8:$B$247,Personnes!$A41,$AL$8:$AL$247)-'Planning par personne'!D41))</f>
        <v>0</v>
      </c>
      <c r="CB41" t="n">
        <f>IF(OR(Personnes!$A41="",3&gt;Paramètres!$B$9),0,MAX(0,SUMIF($B$8:$B$247,Personnes!$A41,$AM$8:$AM$247)-'Planning par personne'!E41))</f>
        <v>0</v>
      </c>
      <c r="CC41" t="n">
        <f>IF(OR(Personnes!$A41="",4&gt;Paramètres!$B$9),0,MAX(0,SUMIF($B$8:$B$247,Personnes!$A41,$AN$8:$AN$247)-'Planning par personne'!F41))</f>
        <v>0</v>
      </c>
      <c r="CD41" t="n">
        <f>IF(OR(Personnes!$A41="",5&gt;Paramètres!$B$9),0,MAX(0,SUMIF($B$8:$B$247,Personnes!$A41,$AO$8:$AO$247)-'Planning par personne'!G41))</f>
        <v>0</v>
      </c>
      <c r="CE41" t="n">
        <f>IF(OR(Personnes!$A41="",6&gt;Paramètres!$B$9),0,MAX(0,SUMIF($B$8:$B$247,Personnes!$A41,$AP$8:$AP$247)-'Planning par personne'!H41))</f>
        <v>0</v>
      </c>
      <c r="CF41" t="n">
        <f>IF(OR(Personnes!$A41="",7&gt;Paramètres!$B$9),0,MAX(0,SUMIF($B$8:$B$247,Personnes!$A41,$AQ$8:$AQ$247)-'Planning par personne'!I41))</f>
        <v>0</v>
      </c>
      <c r="CG41" t="n">
        <f>IF(OR(Personnes!$A41="",8&gt;Paramètres!$B$9),0,MAX(0,SUMIF($B$8:$B$247,Personnes!$A41,$AR$8:$AR$247)-'Planning par personne'!J41))</f>
        <v>0</v>
      </c>
      <c r="CH41" t="n">
        <f>IF(OR(Personnes!$A41="",9&gt;Paramètres!$B$9),0,MAX(0,SUMIF($B$8:$B$247,Personnes!$A41,$AS$8:$AS$247)-'Planning par personne'!K41))</f>
        <v>0</v>
      </c>
      <c r="CI41" t="n">
        <f>IF(OR(Personnes!$A41="",10&gt;Paramètres!$B$9),0,MAX(0,SUMIF($B$8:$B$247,Personnes!$A41,$AT$8:$AT$247)-'Planning par personne'!L41))</f>
        <v>0</v>
      </c>
      <c r="CJ41" t="n">
        <f>IF(OR(Personnes!$A41="",11&gt;Paramètres!$B$9),0,MAX(0,SUMIF($B$8:$B$247,Personnes!$A41,$AU$8:$AU$247)-'Planning par personne'!M41))</f>
        <v>0</v>
      </c>
      <c r="CK41" t="n">
        <f>IF(OR(Personnes!$A41="",12&gt;Paramètres!$B$9),0,MAX(0,SUMIF($B$8:$B$247,Personnes!$A41,$AV$8:$AV$247)-'Planning par personne'!N41))</f>
        <v>0</v>
      </c>
      <c r="CL41" t="n">
        <f>IF(OR(Personnes!$A41="",13&gt;Paramètres!$B$9),0,MAX(0,SUMIF($B$8:$B$247,Personnes!$A41,$AW$8:$AW$247)-'Planning par personne'!O41))</f>
        <v>0</v>
      </c>
      <c r="CM41" t="n">
        <f>IF(OR(Personnes!$A41="",1&gt;Paramètres!$B$9),0,MAX(0,SUMIF($B$8:$B$247,Personnes!$A41,$AX$8:$AX$247)-'Planning par personne'!C41))</f>
        <v>0</v>
      </c>
      <c r="CN41" t="n">
        <f>IF(OR(Personnes!$A41="",2&gt;Paramètres!$B$9),0,MAX(0,SUMIF($B$8:$B$247,Personnes!$A41,$AY$8:$AY$247)-'Planning par personne'!D41))</f>
        <v>0</v>
      </c>
      <c r="CO41" t="n">
        <f>IF(OR(Personnes!$A41="",3&gt;Paramètres!$B$9),0,MAX(0,SUMIF($B$8:$B$247,Personnes!$A41,$AZ$8:$AZ$247)-'Planning par personne'!E41))</f>
        <v>0</v>
      </c>
      <c r="CP41" t="n">
        <f>IF(OR(Personnes!$A41="",4&gt;Paramètres!$B$9),0,MAX(0,SUMIF($B$8:$B$247,Personnes!$A41,$BA$8:$BA$247)-'Planning par personne'!F41))</f>
        <v>0</v>
      </c>
      <c r="CQ41" t="n">
        <f>IF(OR(Personnes!$A41="",5&gt;Paramètres!$B$9),0,MAX(0,SUMIF($B$8:$B$247,Personnes!$A41,$BB$8:$BB$247)-'Planning par personne'!G41))</f>
        <v>0</v>
      </c>
      <c r="CR41" t="n">
        <f>IF(OR(Personnes!$A41="",6&gt;Paramètres!$B$9),0,MAX(0,SUMIF($B$8:$B$247,Personnes!$A41,$BC$8:$BC$247)-'Planning par personne'!H41))</f>
        <v>0</v>
      </c>
      <c r="CS41" t="n">
        <f>IF(OR(Personnes!$A41="",7&gt;Paramètres!$B$9),0,MAX(0,SUMIF($B$8:$B$247,Personnes!$A41,$BD$8:$BD$247)-'Planning par personne'!I41))</f>
        <v>0</v>
      </c>
      <c r="CT41" t="n">
        <f>IF(OR(Personnes!$A41="",8&gt;Paramètres!$B$9),0,MAX(0,SUMIF($B$8:$B$247,Personnes!$A41,$BE$8:$BE$247)-'Planning par personne'!J41))</f>
        <v>0</v>
      </c>
      <c r="CU41" t="n">
        <f>IF(OR(Personnes!$A41="",9&gt;Paramètres!$B$9),0,MAX(0,SUMIF($B$8:$B$247,Personnes!$A41,$BF$8:$BF$247)-'Planning par personne'!K41))</f>
        <v>0</v>
      </c>
      <c r="CV41" t="n">
        <f>IF(OR(Personnes!$A41="",10&gt;Paramètres!$B$9),0,MAX(0,SUMIF($B$8:$B$247,Personnes!$A41,$BG$8:$BG$247)-'Planning par personne'!L41))</f>
        <v>0</v>
      </c>
      <c r="CW41" t="n">
        <f>IF(OR(Personnes!$A41="",11&gt;Paramètres!$B$9),0,MAX(0,SUMIF($B$8:$B$247,Personnes!$A41,$BH$8:$BH$247)-'Planning par personne'!M41))</f>
        <v>0</v>
      </c>
      <c r="CX41" t="n">
        <f>IF(OR(Personnes!$A41="",12&gt;Paramètres!$B$9),0,MAX(0,SUMIF($B$8:$B$247,Personnes!$A41,$BI$8:$BI$247)-'Planning par personne'!N41))</f>
        <v>0</v>
      </c>
      <c r="CY41" t="n">
        <f>IF(OR(Personnes!$A41="",13&gt;Paramètres!$B$9),0,MAX(0,SUMIF($B$8:$B$247,Personnes!$A41,$BJ$8:$BJ$247)-'Planning par personne'!O41))</f>
        <v>0</v>
      </c>
      <c r="DJ41" t="n">
        <f>SUM(BM41:BY41)</f>
        <v>0</v>
      </c>
      <c r="DK41" t="n">
        <f>SUM(BZ41:CL41)</f>
        <v>0</v>
      </c>
      <c r="DL41" t="n">
        <f>SUM(CM41:CY41)</f>
        <v>0</v>
      </c>
      <c r="DM41" t="str">
        <f>IF(AND(Projets!A41&lt;&gt;"",Projets!G41="Engager"),DM40&amp;IF(DM40="","",", ")&amp;Projets!B41,DM40)</f>
        <v/>
      </c>
      <c r="DN41" t="str">
        <f>IF(AND(Projets!A41&lt;&gt;"",Projets!G41="Reporter"),DN40&amp;IF(DN40="","",", ")&amp;Projets!B41,DN40)</f>
        <v/>
      </c>
    </row>
    <row r="42">
      <c r="A42" t="n">
        <f>Charges!A42</f>
        <v>0</v>
      </c>
      <c r="B42" t="n">
        <f>Charges!C42</f>
        <v>0</v>
      </c>
      <c r="C42" t="str">
        <f>Charges!D42</f>
        <v/>
      </c>
      <c r="E42" t="n">
        <f>IF(1&lt;=Paramètres!$B$9,MAX(0,IFERROR(N(IF(ISNUMBER(Charges!F42),MAX(0,Charges!F42),IFERROR(VLOOKUP(Charges!F42,Paramètres!$A$15:$B$18,2,FALSE),0))),0)),0)</f>
        <v>0</v>
      </c>
      <c r="F42" t="n">
        <f>IF(2&lt;=Paramètres!$B$9,MAX(0,IFERROR(N(IF(ISNUMBER(Charges!G42),MAX(0,Charges!G42),IFERROR(VLOOKUP(Charges!G42,Paramètres!$A$15:$B$18,2,FALSE),0))),0)),0)</f>
        <v>0</v>
      </c>
      <c r="G42" t="n">
        <f>IF(3&lt;=Paramètres!$B$9,MAX(0,IFERROR(N(IF(ISNUMBER(Charges!H42),MAX(0,Charges!H42),IFERROR(VLOOKUP(Charges!H42,Paramètres!$A$15:$B$18,2,FALSE),0))),0)),0)</f>
        <v>0</v>
      </c>
      <c r="H42" t="n">
        <f>IF(4&lt;=Paramètres!$B$9,MAX(0,IFERROR(N(IF(ISNUMBER(Charges!I42),MAX(0,Charges!I42),IFERROR(VLOOKUP(Charges!I42,Paramètres!$A$15:$B$18,2,FALSE),0))),0)),0)</f>
        <v>0</v>
      </c>
      <c r="I42" t="n">
        <f>IF(5&lt;=Paramètres!$B$9,MAX(0,IFERROR(N(IF(ISNUMBER(Charges!J42),MAX(0,Charges!J42),IFERROR(VLOOKUP(Charges!J42,Paramètres!$A$15:$B$18,2,FALSE),0))),0)),0)</f>
        <v>0</v>
      </c>
      <c r="J42" t="n">
        <f>IF(6&lt;=Paramètres!$B$9,MAX(0,IFERROR(N(IF(ISNUMBER(Charges!K42),MAX(0,Charges!K42),IFERROR(VLOOKUP(Charges!K42,Paramètres!$A$15:$B$18,2,FALSE),0))),0)),0)</f>
        <v>0</v>
      </c>
      <c r="K42" t="n">
        <f>IF(7&lt;=Paramètres!$B$9,MAX(0,IFERROR(N(IF(ISNUMBER(Charges!L42),MAX(0,Charges!L42),IFERROR(VLOOKUP(Charges!L42,Paramètres!$A$15:$B$18,2,FALSE),0))),0)),0)</f>
        <v>0</v>
      </c>
      <c r="L42" t="n">
        <f>IF(8&lt;=Paramètres!$B$9,MAX(0,IFERROR(N(IF(ISNUMBER(Charges!M42),MAX(0,Charges!M42),IFERROR(VLOOKUP(Charges!M42,Paramètres!$A$15:$B$18,2,FALSE),0))),0)),0)</f>
        <v>0</v>
      </c>
      <c r="M42" t="n">
        <f>IF(9&lt;=Paramètres!$B$9,MAX(0,IFERROR(N(IF(ISNUMBER(Charges!N42),MAX(0,Charges!N42),IFERROR(VLOOKUP(Charges!N42,Paramètres!$A$15:$B$18,2,FALSE),0))),0)),0)</f>
        <v>0</v>
      </c>
      <c r="N42" t="n">
        <f>IF(10&lt;=Paramètres!$B$9,MAX(0,IFERROR(N(IF(ISNUMBER(Charges!O42),MAX(0,Charges!O42),IFERROR(VLOOKUP(Charges!O42,Paramètres!$A$15:$B$18,2,FALSE),0))),0)),0)</f>
        <v>0</v>
      </c>
      <c r="O42" t="n">
        <f>IF(11&lt;=Paramètres!$B$9,MAX(0,IFERROR(N(IF(ISNUMBER(Charges!P42),MAX(0,Charges!P42),IFERROR(VLOOKUP(Charges!P42,Paramètres!$A$15:$B$18,2,FALSE),0))),0)),0)</f>
        <v>0</v>
      </c>
      <c r="P42" t="n">
        <f>IF(12&lt;=Paramètres!$B$9,MAX(0,IFERROR(N(IF(ISNUMBER(Charges!Q42),MAX(0,Charges!Q42),IFERROR(VLOOKUP(Charges!Q42,Paramètres!$A$15:$B$18,2,FALSE),0))),0)),0)</f>
        <v>0</v>
      </c>
      <c r="Q42" t="n">
        <f>IF(13&lt;=Paramètres!$B$9,MAX(0,IFERROR(N(IF(ISNUMBER(Charges!R42),MAX(0,Charges!R42),IFERROR(VLOOKUP(Charges!R42,Paramètres!$A$15:$B$18,2,FALSE),0))),0)),0)</f>
        <v>0</v>
      </c>
      <c r="R42" t="n">
        <f>SUM(E42:Q42)</f>
        <v>0</v>
      </c>
      <c r="S42" t="n">
        <f>IF(IFERROR(VLOOKUP(A42,'Projets'!$A$8:$Z$67,7,FALSE),"")="Engager",1,0)</f>
        <v>0</v>
      </c>
      <c r="T42" t="n">
        <f>IF(OR(Charges!F42="",AND(ISNUMBER(Charges!F42),Charges!F42&gt;=0),Charges!F42="S",Charges!F42="M",Charges!F42="L",Charges!F42="XL"),0,1)+IF(OR(Charges!G42="",AND(ISNUMBER(Charges!G42),Charges!G42&gt;=0),Charges!G42="S",Charges!G42="M",Charges!G42="L",Charges!G42="XL"),0,1)+IF(OR(Charges!H42="",AND(ISNUMBER(Charges!H42),Charges!H42&gt;=0),Charges!H42="S",Charges!H42="M",Charges!H42="L",Charges!H42="XL"),0,1)+IF(OR(Charges!I42="",AND(ISNUMBER(Charges!I42),Charges!I42&gt;=0),Charges!I42="S",Charges!I42="M",Charges!I42="L",Charges!I42="XL"),0,1)+IF(OR(Charges!J42="",AND(ISNUMBER(Charges!J42),Charges!J42&gt;=0),Charges!J42="S",Charges!J42="M",Charges!J42="L",Charges!J42="XL"),0,1)+IF(OR(Charges!K42="",AND(ISNUMBER(Charges!K42),Charges!K42&gt;=0),Charges!K42="S",Charges!K42="M",Charges!K42="L",Charges!K42="XL"),0,1)+IF(OR(Charges!L42="",AND(ISNUMBER(Charges!L42),Charges!L42&gt;=0),Charges!L42="S",Charges!L42="M",Charges!L42="L",Charges!L42="XL"),0,1)+IF(OR(Charges!M42="",AND(ISNUMBER(Charges!M42),Charges!M42&gt;=0),Charges!M42="S",Charges!M42="M",Charges!M42="L",Charges!M42="XL"),0,1)+IF(OR(Charges!N42="",AND(ISNUMBER(Charges!N42),Charges!N42&gt;=0),Charges!N42="S",Charges!N42="M",Charges!N42="L",Charges!N42="XL"),0,1)+IF(OR(Charges!O42="",AND(ISNUMBER(Charges!O42),Charges!O42&gt;=0),Charges!O42="S",Charges!O42="M",Charges!O42="L",Charges!O42="XL"),0,1)+IF(OR(Charges!P42="",AND(ISNUMBER(Charges!P42),Charges!P42&gt;=0),Charges!P42="S",Charges!P42="M",Charges!P42="L",Charges!P42="XL"),0,1)+IF(OR(Charges!Q42="",AND(ISNUMBER(Charges!Q42),Charges!Q42&gt;=0),Charges!Q42="S",Charges!Q42="M",Charges!Q42="L",Charges!Q42="XL"),0,1)+IF(OR(Charges!R42="",AND(ISNUMBER(Charges!R42),Charges!R42&gt;=0),Charges!R42="S",Charges!R42="M",Charges!R42="L",Charges!R42="XL"),0,1)</f>
        <v>0</v>
      </c>
      <c r="U42" t="n">
        <f>IF(AND(1&gt;Paramètres!$B$9,Charges!F42&lt;&gt;"",Charges!F42&lt;&gt;0),1,0)+IF(AND(2&gt;Paramètres!$B$9,Charges!G42&lt;&gt;"",Charges!G42&lt;&gt;0),1,0)+IF(AND(3&gt;Paramètres!$B$9,Charges!H42&lt;&gt;"",Charges!H42&lt;&gt;0),1,0)+IF(AND(4&gt;Paramètres!$B$9,Charges!I42&lt;&gt;"",Charges!I42&lt;&gt;0),1,0)+IF(AND(5&gt;Paramètres!$B$9,Charges!J42&lt;&gt;"",Charges!J42&lt;&gt;0),1,0)+IF(AND(6&gt;Paramètres!$B$9,Charges!K42&lt;&gt;"",Charges!K42&lt;&gt;0),1,0)+IF(AND(7&gt;Paramètres!$B$9,Charges!L42&lt;&gt;"",Charges!L42&lt;&gt;0),1,0)+IF(AND(8&gt;Paramètres!$B$9,Charges!M42&lt;&gt;"",Charges!M42&lt;&gt;0),1,0)+IF(AND(9&gt;Paramètres!$B$9,Charges!N42&lt;&gt;"",Charges!N42&lt;&gt;0),1,0)+IF(AND(10&gt;Paramètres!$B$9,Charges!O42&lt;&gt;"",Charges!O42&lt;&gt;0),1,0)+IF(AND(11&gt;Paramètres!$B$9,Charges!P42&lt;&gt;"",Charges!P42&lt;&gt;0),1,0)+IF(AND(12&gt;Paramètres!$B$9,Charges!Q42&lt;&gt;"",Charges!Q42&lt;&gt;0),1,0)+IF(AND(13&gt;Paramètres!$B$9,Charges!R42&lt;&gt;"",Charges!R42&lt;&gt;0),1,0)</f>
        <v>0</v>
      </c>
      <c r="V42" t="n">
        <f>IF(IFERROR(VLOOKUP(A42,'Projets'!$A$8:$Z$67,5,FALSE),"")="Engager",1,0)</f>
        <v>0</v>
      </c>
      <c r="W42" t="n">
        <f>IF(IFERROR(VLOOKUP(A42,'Projets'!$A$8:$Z$67,6,FALSE),"")="Engager",1,0)</f>
        <v>0</v>
      </c>
      <c r="X42" t="n">
        <f>E42*S42</f>
        <v>0</v>
      </c>
      <c r="Y42" t="n">
        <f>F42*S42</f>
        <v>0</v>
      </c>
      <c r="Z42" t="n">
        <f>G42*S42</f>
        <v>0</v>
      </c>
      <c r="AA42" t="n">
        <f>H42*S42</f>
        <v>0</v>
      </c>
      <c r="AB42" t="n">
        <f>I42*S42</f>
        <v>0</v>
      </c>
      <c r="AC42" t="n">
        <f>J42*S42</f>
        <v>0</v>
      </c>
      <c r="AD42" t="n">
        <f>K42*S42</f>
        <v>0</v>
      </c>
      <c r="AE42" t="n">
        <f>L42*S42</f>
        <v>0</v>
      </c>
      <c r="AF42" t="n">
        <f>M42*S42</f>
        <v>0</v>
      </c>
      <c r="AG42" t="n">
        <f>N42*S42</f>
        <v>0</v>
      </c>
      <c r="AH42" t="n">
        <f>O42*S42</f>
        <v>0</v>
      </c>
      <c r="AI42" t="n">
        <f>P42*S42</f>
        <v>0</v>
      </c>
      <c r="AJ42" t="n">
        <f>Q42*S42</f>
        <v>0</v>
      </c>
      <c r="AK42" t="n">
        <f>E42*V42</f>
        <v>0</v>
      </c>
      <c r="AL42" t="n">
        <f>F42*V42</f>
        <v>0</v>
      </c>
      <c r="AM42" t="n">
        <f>G42*V42</f>
        <v>0</v>
      </c>
      <c r="AN42" t="n">
        <f>H42*V42</f>
        <v>0</v>
      </c>
      <c r="AO42" t="n">
        <f>I42*V42</f>
        <v>0</v>
      </c>
      <c r="AP42" t="n">
        <f>J42*V42</f>
        <v>0</v>
      </c>
      <c r="AQ42" t="n">
        <f>K42*V42</f>
        <v>0</v>
      </c>
      <c r="AR42" t="n">
        <f>L42*V42</f>
        <v>0</v>
      </c>
      <c r="AS42" t="n">
        <f>M42*V42</f>
        <v>0</v>
      </c>
      <c r="AT42" t="n">
        <f>N42*V42</f>
        <v>0</v>
      </c>
      <c r="AU42" t="n">
        <f>O42*V42</f>
        <v>0</v>
      </c>
      <c r="AV42" t="n">
        <f>P42*V42</f>
        <v>0</v>
      </c>
      <c r="AW42" t="n">
        <f>Q42*V42</f>
        <v>0</v>
      </c>
      <c r="AX42" t="n">
        <f>E42*W42</f>
        <v>0</v>
      </c>
      <c r="AY42" t="n">
        <f>F42*W42</f>
        <v>0</v>
      </c>
      <c r="AZ42" t="n">
        <f>G42*W42</f>
        <v>0</v>
      </c>
      <c r="BA42" t="n">
        <f>H42*W42</f>
        <v>0</v>
      </c>
      <c r="BB42" t="n">
        <f>I42*W42</f>
        <v>0</v>
      </c>
      <c r="BC42" t="n">
        <f>J42*W42</f>
        <v>0</v>
      </c>
      <c r="BD42" t="n">
        <f>K42*W42</f>
        <v>0</v>
      </c>
      <c r="BE42" t="n">
        <f>L42*W42</f>
        <v>0</v>
      </c>
      <c r="BF42" t="n">
        <f>M42*W42</f>
        <v>0</v>
      </c>
      <c r="BG42" t="n">
        <f>N42*W42</f>
        <v>0</v>
      </c>
      <c r="BH42" t="n">
        <f>O42*W42</f>
        <v>0</v>
      </c>
      <c r="BI42" t="n">
        <f>P42*W42</f>
        <v>0</v>
      </c>
      <c r="BJ42" t="n">
        <f>Q42*W42</f>
        <v>0</v>
      </c>
      <c r="BM42" t="n">
        <f>IF(OR(Personnes!$A42="",1&gt;Paramètres!$B$9),0,MAX(0,SUMIF($B$8:$B$247,Personnes!$A42,$E$8:$E$247)-'Planning par personne'!C42))</f>
        <v>0</v>
      </c>
      <c r="BN42" t="n">
        <f>IF(OR(Personnes!$A42="",2&gt;Paramètres!$B$9),0,MAX(0,SUMIF($B$8:$B$247,Personnes!$A42,$F$8:$F$247)-'Planning par personne'!D42))</f>
        <v>0</v>
      </c>
      <c r="BO42" t="n">
        <f>IF(OR(Personnes!$A42="",3&gt;Paramètres!$B$9),0,MAX(0,SUMIF($B$8:$B$247,Personnes!$A42,$G$8:$G$247)-'Planning par personne'!E42))</f>
        <v>0</v>
      </c>
      <c r="BP42" t="n">
        <f>IF(OR(Personnes!$A42="",4&gt;Paramètres!$B$9),0,MAX(0,SUMIF($B$8:$B$247,Personnes!$A42,$H$8:$H$247)-'Planning par personne'!F42))</f>
        <v>0</v>
      </c>
      <c r="BQ42" t="n">
        <f>IF(OR(Personnes!$A42="",5&gt;Paramètres!$B$9),0,MAX(0,SUMIF($B$8:$B$247,Personnes!$A42,$I$8:$I$247)-'Planning par personne'!G42))</f>
        <v>0</v>
      </c>
      <c r="BR42" t="n">
        <f>IF(OR(Personnes!$A42="",6&gt;Paramètres!$B$9),0,MAX(0,SUMIF($B$8:$B$247,Personnes!$A42,$J$8:$J$247)-'Planning par personne'!H42))</f>
        <v>0</v>
      </c>
      <c r="BS42" t="n">
        <f>IF(OR(Personnes!$A42="",7&gt;Paramètres!$B$9),0,MAX(0,SUMIF($B$8:$B$247,Personnes!$A42,$K$8:$K$247)-'Planning par personne'!I42))</f>
        <v>0</v>
      </c>
      <c r="BT42" t="n">
        <f>IF(OR(Personnes!$A42="",8&gt;Paramètres!$B$9),0,MAX(0,SUMIF($B$8:$B$247,Personnes!$A42,$L$8:$L$247)-'Planning par personne'!J42))</f>
        <v>0</v>
      </c>
      <c r="BU42" t="n">
        <f>IF(OR(Personnes!$A42="",9&gt;Paramètres!$B$9),0,MAX(0,SUMIF($B$8:$B$247,Personnes!$A42,$M$8:$M$247)-'Planning par personne'!K42))</f>
        <v>0</v>
      </c>
      <c r="BV42" t="n">
        <f>IF(OR(Personnes!$A42="",10&gt;Paramètres!$B$9),0,MAX(0,SUMIF($B$8:$B$247,Personnes!$A42,$N$8:$N$247)-'Planning par personne'!L42))</f>
        <v>0</v>
      </c>
      <c r="BW42" t="n">
        <f>IF(OR(Personnes!$A42="",11&gt;Paramètres!$B$9),0,MAX(0,SUMIF($B$8:$B$247,Personnes!$A42,$O$8:$O$247)-'Planning par personne'!M42))</f>
        <v>0</v>
      </c>
      <c r="BX42" t="n">
        <f>IF(OR(Personnes!$A42="",12&gt;Paramètres!$B$9),0,MAX(0,SUMIF($B$8:$B$247,Personnes!$A42,$P$8:$P$247)-'Planning par personne'!N42))</f>
        <v>0</v>
      </c>
      <c r="BY42" t="n">
        <f>IF(OR(Personnes!$A42="",13&gt;Paramètres!$B$9),0,MAX(0,SUMIF($B$8:$B$247,Personnes!$A42,$Q$8:$Q$247)-'Planning par personne'!O42))</f>
        <v>0</v>
      </c>
      <c r="BZ42" t="n">
        <f>IF(OR(Personnes!$A42="",1&gt;Paramètres!$B$9),0,MAX(0,SUMIF($B$8:$B$247,Personnes!$A42,$AK$8:$AK$247)-'Planning par personne'!C42))</f>
        <v>0</v>
      </c>
      <c r="CA42" t="n">
        <f>IF(OR(Personnes!$A42="",2&gt;Paramètres!$B$9),0,MAX(0,SUMIF($B$8:$B$247,Personnes!$A42,$AL$8:$AL$247)-'Planning par personne'!D42))</f>
        <v>0</v>
      </c>
      <c r="CB42" t="n">
        <f>IF(OR(Personnes!$A42="",3&gt;Paramètres!$B$9),0,MAX(0,SUMIF($B$8:$B$247,Personnes!$A42,$AM$8:$AM$247)-'Planning par personne'!E42))</f>
        <v>0</v>
      </c>
      <c r="CC42" t="n">
        <f>IF(OR(Personnes!$A42="",4&gt;Paramètres!$B$9),0,MAX(0,SUMIF($B$8:$B$247,Personnes!$A42,$AN$8:$AN$247)-'Planning par personne'!F42))</f>
        <v>0</v>
      </c>
      <c r="CD42" t="n">
        <f>IF(OR(Personnes!$A42="",5&gt;Paramètres!$B$9),0,MAX(0,SUMIF($B$8:$B$247,Personnes!$A42,$AO$8:$AO$247)-'Planning par personne'!G42))</f>
        <v>0</v>
      </c>
      <c r="CE42" t="n">
        <f>IF(OR(Personnes!$A42="",6&gt;Paramètres!$B$9),0,MAX(0,SUMIF($B$8:$B$247,Personnes!$A42,$AP$8:$AP$247)-'Planning par personne'!H42))</f>
        <v>0</v>
      </c>
      <c r="CF42" t="n">
        <f>IF(OR(Personnes!$A42="",7&gt;Paramètres!$B$9),0,MAX(0,SUMIF($B$8:$B$247,Personnes!$A42,$AQ$8:$AQ$247)-'Planning par personne'!I42))</f>
        <v>0</v>
      </c>
      <c r="CG42" t="n">
        <f>IF(OR(Personnes!$A42="",8&gt;Paramètres!$B$9),0,MAX(0,SUMIF($B$8:$B$247,Personnes!$A42,$AR$8:$AR$247)-'Planning par personne'!J42))</f>
        <v>0</v>
      </c>
      <c r="CH42" t="n">
        <f>IF(OR(Personnes!$A42="",9&gt;Paramètres!$B$9),0,MAX(0,SUMIF($B$8:$B$247,Personnes!$A42,$AS$8:$AS$247)-'Planning par personne'!K42))</f>
        <v>0</v>
      </c>
      <c r="CI42" t="n">
        <f>IF(OR(Personnes!$A42="",10&gt;Paramètres!$B$9),0,MAX(0,SUMIF($B$8:$B$247,Personnes!$A42,$AT$8:$AT$247)-'Planning par personne'!L42))</f>
        <v>0</v>
      </c>
      <c r="CJ42" t="n">
        <f>IF(OR(Personnes!$A42="",11&gt;Paramètres!$B$9),0,MAX(0,SUMIF($B$8:$B$247,Personnes!$A42,$AU$8:$AU$247)-'Planning par personne'!M42))</f>
        <v>0</v>
      </c>
      <c r="CK42" t="n">
        <f>IF(OR(Personnes!$A42="",12&gt;Paramètres!$B$9),0,MAX(0,SUMIF($B$8:$B$247,Personnes!$A42,$AV$8:$AV$247)-'Planning par personne'!N42))</f>
        <v>0</v>
      </c>
      <c r="CL42" t="n">
        <f>IF(OR(Personnes!$A42="",13&gt;Paramètres!$B$9),0,MAX(0,SUMIF($B$8:$B$247,Personnes!$A42,$AW$8:$AW$247)-'Planning par personne'!O42))</f>
        <v>0</v>
      </c>
      <c r="CM42" t="n">
        <f>IF(OR(Personnes!$A42="",1&gt;Paramètres!$B$9),0,MAX(0,SUMIF($B$8:$B$247,Personnes!$A42,$AX$8:$AX$247)-'Planning par personne'!C42))</f>
        <v>0</v>
      </c>
      <c r="CN42" t="n">
        <f>IF(OR(Personnes!$A42="",2&gt;Paramètres!$B$9),0,MAX(0,SUMIF($B$8:$B$247,Personnes!$A42,$AY$8:$AY$247)-'Planning par personne'!D42))</f>
        <v>0</v>
      </c>
      <c r="CO42" t="n">
        <f>IF(OR(Personnes!$A42="",3&gt;Paramètres!$B$9),0,MAX(0,SUMIF($B$8:$B$247,Personnes!$A42,$AZ$8:$AZ$247)-'Planning par personne'!E42))</f>
        <v>0</v>
      </c>
      <c r="CP42" t="n">
        <f>IF(OR(Personnes!$A42="",4&gt;Paramètres!$B$9),0,MAX(0,SUMIF($B$8:$B$247,Personnes!$A42,$BA$8:$BA$247)-'Planning par personne'!F42))</f>
        <v>0</v>
      </c>
      <c r="CQ42" t="n">
        <f>IF(OR(Personnes!$A42="",5&gt;Paramètres!$B$9),0,MAX(0,SUMIF($B$8:$B$247,Personnes!$A42,$BB$8:$BB$247)-'Planning par personne'!G42))</f>
        <v>0</v>
      </c>
      <c r="CR42" t="n">
        <f>IF(OR(Personnes!$A42="",6&gt;Paramètres!$B$9),0,MAX(0,SUMIF($B$8:$B$247,Personnes!$A42,$BC$8:$BC$247)-'Planning par personne'!H42))</f>
        <v>0</v>
      </c>
      <c r="CS42" t="n">
        <f>IF(OR(Personnes!$A42="",7&gt;Paramètres!$B$9),0,MAX(0,SUMIF($B$8:$B$247,Personnes!$A42,$BD$8:$BD$247)-'Planning par personne'!I42))</f>
        <v>0</v>
      </c>
      <c r="CT42" t="n">
        <f>IF(OR(Personnes!$A42="",8&gt;Paramètres!$B$9),0,MAX(0,SUMIF($B$8:$B$247,Personnes!$A42,$BE$8:$BE$247)-'Planning par personne'!J42))</f>
        <v>0</v>
      </c>
      <c r="CU42" t="n">
        <f>IF(OR(Personnes!$A42="",9&gt;Paramètres!$B$9),0,MAX(0,SUMIF($B$8:$B$247,Personnes!$A42,$BF$8:$BF$247)-'Planning par personne'!K42))</f>
        <v>0</v>
      </c>
      <c r="CV42" t="n">
        <f>IF(OR(Personnes!$A42="",10&gt;Paramètres!$B$9),0,MAX(0,SUMIF($B$8:$B$247,Personnes!$A42,$BG$8:$BG$247)-'Planning par personne'!L42))</f>
        <v>0</v>
      </c>
      <c r="CW42" t="n">
        <f>IF(OR(Personnes!$A42="",11&gt;Paramètres!$B$9),0,MAX(0,SUMIF($B$8:$B$247,Personnes!$A42,$BH$8:$BH$247)-'Planning par personne'!M42))</f>
        <v>0</v>
      </c>
      <c r="CX42" t="n">
        <f>IF(OR(Personnes!$A42="",12&gt;Paramètres!$B$9),0,MAX(0,SUMIF($B$8:$B$247,Personnes!$A42,$BI$8:$BI$247)-'Planning par personne'!N42))</f>
        <v>0</v>
      </c>
      <c r="CY42" t="n">
        <f>IF(OR(Personnes!$A42="",13&gt;Paramètres!$B$9),0,MAX(0,SUMIF($B$8:$B$247,Personnes!$A42,$BJ$8:$BJ$247)-'Planning par personne'!O42))</f>
        <v>0</v>
      </c>
      <c r="DJ42" t="n">
        <f>SUM(BM42:BY42)</f>
        <v>0</v>
      </c>
      <c r="DK42" t="n">
        <f>SUM(BZ42:CL42)</f>
        <v>0</v>
      </c>
      <c r="DL42" t="n">
        <f>SUM(CM42:CY42)</f>
        <v>0</v>
      </c>
      <c r="DM42" t="str">
        <f>IF(AND(Projets!A42&lt;&gt;"",Projets!G42="Engager"),DM41&amp;IF(DM41="","",", ")&amp;Projets!B42,DM41)</f>
        <v/>
      </c>
      <c r="DN42" t="str">
        <f>IF(AND(Projets!A42&lt;&gt;"",Projets!G42="Reporter"),DN41&amp;IF(DN41="","",", ")&amp;Projets!B42,DN41)</f>
        <v/>
      </c>
    </row>
    <row r="43">
      <c r="A43" t="n">
        <f>Charges!A43</f>
        <v>0</v>
      </c>
      <c r="B43" t="n">
        <f>Charges!C43</f>
        <v>0</v>
      </c>
      <c r="C43" t="str">
        <f>Charges!D43</f>
        <v/>
      </c>
      <c r="E43" t="n">
        <f>IF(1&lt;=Paramètres!$B$9,MAX(0,IFERROR(N(IF(ISNUMBER(Charges!F43),MAX(0,Charges!F43),IFERROR(VLOOKUP(Charges!F43,Paramètres!$A$15:$B$18,2,FALSE),0))),0)),0)</f>
        <v>0</v>
      </c>
      <c r="F43" t="n">
        <f>IF(2&lt;=Paramètres!$B$9,MAX(0,IFERROR(N(IF(ISNUMBER(Charges!G43),MAX(0,Charges!G43),IFERROR(VLOOKUP(Charges!G43,Paramètres!$A$15:$B$18,2,FALSE),0))),0)),0)</f>
        <v>0</v>
      </c>
      <c r="G43" t="n">
        <f>IF(3&lt;=Paramètres!$B$9,MAX(0,IFERROR(N(IF(ISNUMBER(Charges!H43),MAX(0,Charges!H43),IFERROR(VLOOKUP(Charges!H43,Paramètres!$A$15:$B$18,2,FALSE),0))),0)),0)</f>
        <v>0</v>
      </c>
      <c r="H43" t="n">
        <f>IF(4&lt;=Paramètres!$B$9,MAX(0,IFERROR(N(IF(ISNUMBER(Charges!I43),MAX(0,Charges!I43),IFERROR(VLOOKUP(Charges!I43,Paramètres!$A$15:$B$18,2,FALSE),0))),0)),0)</f>
        <v>0</v>
      </c>
      <c r="I43" t="n">
        <f>IF(5&lt;=Paramètres!$B$9,MAX(0,IFERROR(N(IF(ISNUMBER(Charges!J43),MAX(0,Charges!J43),IFERROR(VLOOKUP(Charges!J43,Paramètres!$A$15:$B$18,2,FALSE),0))),0)),0)</f>
        <v>0</v>
      </c>
      <c r="J43" t="n">
        <f>IF(6&lt;=Paramètres!$B$9,MAX(0,IFERROR(N(IF(ISNUMBER(Charges!K43),MAX(0,Charges!K43),IFERROR(VLOOKUP(Charges!K43,Paramètres!$A$15:$B$18,2,FALSE),0))),0)),0)</f>
        <v>0</v>
      </c>
      <c r="K43" t="n">
        <f>IF(7&lt;=Paramètres!$B$9,MAX(0,IFERROR(N(IF(ISNUMBER(Charges!L43),MAX(0,Charges!L43),IFERROR(VLOOKUP(Charges!L43,Paramètres!$A$15:$B$18,2,FALSE),0))),0)),0)</f>
        <v>0</v>
      </c>
      <c r="L43" t="n">
        <f>IF(8&lt;=Paramètres!$B$9,MAX(0,IFERROR(N(IF(ISNUMBER(Charges!M43),MAX(0,Charges!M43),IFERROR(VLOOKUP(Charges!M43,Paramètres!$A$15:$B$18,2,FALSE),0))),0)),0)</f>
        <v>0</v>
      </c>
      <c r="M43" t="n">
        <f>IF(9&lt;=Paramètres!$B$9,MAX(0,IFERROR(N(IF(ISNUMBER(Charges!N43),MAX(0,Charges!N43),IFERROR(VLOOKUP(Charges!N43,Paramètres!$A$15:$B$18,2,FALSE),0))),0)),0)</f>
        <v>0</v>
      </c>
      <c r="N43" t="n">
        <f>IF(10&lt;=Paramètres!$B$9,MAX(0,IFERROR(N(IF(ISNUMBER(Charges!O43),MAX(0,Charges!O43),IFERROR(VLOOKUP(Charges!O43,Paramètres!$A$15:$B$18,2,FALSE),0))),0)),0)</f>
        <v>0</v>
      </c>
      <c r="O43" t="n">
        <f>IF(11&lt;=Paramètres!$B$9,MAX(0,IFERROR(N(IF(ISNUMBER(Charges!P43),MAX(0,Charges!P43),IFERROR(VLOOKUP(Charges!P43,Paramètres!$A$15:$B$18,2,FALSE),0))),0)),0)</f>
        <v>0</v>
      </c>
      <c r="P43" t="n">
        <f>IF(12&lt;=Paramètres!$B$9,MAX(0,IFERROR(N(IF(ISNUMBER(Charges!Q43),MAX(0,Charges!Q43),IFERROR(VLOOKUP(Charges!Q43,Paramètres!$A$15:$B$18,2,FALSE),0))),0)),0)</f>
        <v>0</v>
      </c>
      <c r="Q43" t="n">
        <f>IF(13&lt;=Paramètres!$B$9,MAX(0,IFERROR(N(IF(ISNUMBER(Charges!R43),MAX(0,Charges!R43),IFERROR(VLOOKUP(Charges!R43,Paramètres!$A$15:$B$18,2,FALSE),0))),0)),0)</f>
        <v>0</v>
      </c>
      <c r="R43" t="n">
        <f>SUM(E43:Q43)</f>
        <v>0</v>
      </c>
      <c r="S43" t="n">
        <f>IF(IFERROR(VLOOKUP(A43,'Projets'!$A$8:$Z$67,7,FALSE),"")="Engager",1,0)</f>
        <v>0</v>
      </c>
      <c r="T43" t="n">
        <f>IF(OR(Charges!F43="",AND(ISNUMBER(Charges!F43),Charges!F43&gt;=0),Charges!F43="S",Charges!F43="M",Charges!F43="L",Charges!F43="XL"),0,1)+IF(OR(Charges!G43="",AND(ISNUMBER(Charges!G43),Charges!G43&gt;=0),Charges!G43="S",Charges!G43="M",Charges!G43="L",Charges!G43="XL"),0,1)+IF(OR(Charges!H43="",AND(ISNUMBER(Charges!H43),Charges!H43&gt;=0),Charges!H43="S",Charges!H43="M",Charges!H43="L",Charges!H43="XL"),0,1)+IF(OR(Charges!I43="",AND(ISNUMBER(Charges!I43),Charges!I43&gt;=0),Charges!I43="S",Charges!I43="M",Charges!I43="L",Charges!I43="XL"),0,1)+IF(OR(Charges!J43="",AND(ISNUMBER(Charges!J43),Charges!J43&gt;=0),Charges!J43="S",Charges!J43="M",Charges!J43="L",Charges!J43="XL"),0,1)+IF(OR(Charges!K43="",AND(ISNUMBER(Charges!K43),Charges!K43&gt;=0),Charges!K43="S",Charges!K43="M",Charges!K43="L",Charges!K43="XL"),0,1)+IF(OR(Charges!L43="",AND(ISNUMBER(Charges!L43),Charges!L43&gt;=0),Charges!L43="S",Charges!L43="M",Charges!L43="L",Charges!L43="XL"),0,1)+IF(OR(Charges!M43="",AND(ISNUMBER(Charges!M43),Charges!M43&gt;=0),Charges!M43="S",Charges!M43="M",Charges!M43="L",Charges!M43="XL"),0,1)+IF(OR(Charges!N43="",AND(ISNUMBER(Charges!N43),Charges!N43&gt;=0),Charges!N43="S",Charges!N43="M",Charges!N43="L",Charges!N43="XL"),0,1)+IF(OR(Charges!O43="",AND(ISNUMBER(Charges!O43),Charges!O43&gt;=0),Charges!O43="S",Charges!O43="M",Charges!O43="L",Charges!O43="XL"),0,1)+IF(OR(Charges!P43="",AND(ISNUMBER(Charges!P43),Charges!P43&gt;=0),Charges!P43="S",Charges!P43="M",Charges!P43="L",Charges!P43="XL"),0,1)+IF(OR(Charges!Q43="",AND(ISNUMBER(Charges!Q43),Charges!Q43&gt;=0),Charges!Q43="S",Charges!Q43="M",Charges!Q43="L",Charges!Q43="XL"),0,1)+IF(OR(Charges!R43="",AND(ISNUMBER(Charges!R43),Charges!R43&gt;=0),Charges!R43="S",Charges!R43="M",Charges!R43="L",Charges!R43="XL"),0,1)</f>
        <v>0</v>
      </c>
      <c r="U43" t="n">
        <f>IF(AND(1&gt;Paramètres!$B$9,Charges!F43&lt;&gt;"",Charges!F43&lt;&gt;0),1,0)+IF(AND(2&gt;Paramètres!$B$9,Charges!G43&lt;&gt;"",Charges!G43&lt;&gt;0),1,0)+IF(AND(3&gt;Paramètres!$B$9,Charges!H43&lt;&gt;"",Charges!H43&lt;&gt;0),1,0)+IF(AND(4&gt;Paramètres!$B$9,Charges!I43&lt;&gt;"",Charges!I43&lt;&gt;0),1,0)+IF(AND(5&gt;Paramètres!$B$9,Charges!J43&lt;&gt;"",Charges!J43&lt;&gt;0),1,0)+IF(AND(6&gt;Paramètres!$B$9,Charges!K43&lt;&gt;"",Charges!K43&lt;&gt;0),1,0)+IF(AND(7&gt;Paramètres!$B$9,Charges!L43&lt;&gt;"",Charges!L43&lt;&gt;0),1,0)+IF(AND(8&gt;Paramètres!$B$9,Charges!M43&lt;&gt;"",Charges!M43&lt;&gt;0),1,0)+IF(AND(9&gt;Paramètres!$B$9,Charges!N43&lt;&gt;"",Charges!N43&lt;&gt;0),1,0)+IF(AND(10&gt;Paramètres!$B$9,Charges!O43&lt;&gt;"",Charges!O43&lt;&gt;0),1,0)+IF(AND(11&gt;Paramètres!$B$9,Charges!P43&lt;&gt;"",Charges!P43&lt;&gt;0),1,0)+IF(AND(12&gt;Paramètres!$B$9,Charges!Q43&lt;&gt;"",Charges!Q43&lt;&gt;0),1,0)+IF(AND(13&gt;Paramètres!$B$9,Charges!R43&lt;&gt;"",Charges!R43&lt;&gt;0),1,0)</f>
        <v>0</v>
      </c>
      <c r="V43" t="n">
        <f>IF(IFERROR(VLOOKUP(A43,'Projets'!$A$8:$Z$67,5,FALSE),"")="Engager",1,0)</f>
        <v>0</v>
      </c>
      <c r="W43" t="n">
        <f>IF(IFERROR(VLOOKUP(A43,'Projets'!$A$8:$Z$67,6,FALSE),"")="Engager",1,0)</f>
        <v>0</v>
      </c>
      <c r="X43" t="n">
        <f>E43*S43</f>
        <v>0</v>
      </c>
      <c r="Y43" t="n">
        <f>F43*S43</f>
        <v>0</v>
      </c>
      <c r="Z43" t="n">
        <f>G43*S43</f>
        <v>0</v>
      </c>
      <c r="AA43" t="n">
        <f>H43*S43</f>
        <v>0</v>
      </c>
      <c r="AB43" t="n">
        <f>I43*S43</f>
        <v>0</v>
      </c>
      <c r="AC43" t="n">
        <f>J43*S43</f>
        <v>0</v>
      </c>
      <c r="AD43" t="n">
        <f>K43*S43</f>
        <v>0</v>
      </c>
      <c r="AE43" t="n">
        <f>L43*S43</f>
        <v>0</v>
      </c>
      <c r="AF43" t="n">
        <f>M43*S43</f>
        <v>0</v>
      </c>
      <c r="AG43" t="n">
        <f>N43*S43</f>
        <v>0</v>
      </c>
      <c r="AH43" t="n">
        <f>O43*S43</f>
        <v>0</v>
      </c>
      <c r="AI43" t="n">
        <f>P43*S43</f>
        <v>0</v>
      </c>
      <c r="AJ43" t="n">
        <f>Q43*S43</f>
        <v>0</v>
      </c>
      <c r="AK43" t="n">
        <f>E43*V43</f>
        <v>0</v>
      </c>
      <c r="AL43" t="n">
        <f>F43*V43</f>
        <v>0</v>
      </c>
      <c r="AM43" t="n">
        <f>G43*V43</f>
        <v>0</v>
      </c>
      <c r="AN43" t="n">
        <f>H43*V43</f>
        <v>0</v>
      </c>
      <c r="AO43" t="n">
        <f>I43*V43</f>
        <v>0</v>
      </c>
      <c r="AP43" t="n">
        <f>J43*V43</f>
        <v>0</v>
      </c>
      <c r="AQ43" t="n">
        <f>K43*V43</f>
        <v>0</v>
      </c>
      <c r="AR43" t="n">
        <f>L43*V43</f>
        <v>0</v>
      </c>
      <c r="AS43" t="n">
        <f>M43*V43</f>
        <v>0</v>
      </c>
      <c r="AT43" t="n">
        <f>N43*V43</f>
        <v>0</v>
      </c>
      <c r="AU43" t="n">
        <f>O43*V43</f>
        <v>0</v>
      </c>
      <c r="AV43" t="n">
        <f>P43*V43</f>
        <v>0</v>
      </c>
      <c r="AW43" t="n">
        <f>Q43*V43</f>
        <v>0</v>
      </c>
      <c r="AX43" t="n">
        <f>E43*W43</f>
        <v>0</v>
      </c>
      <c r="AY43" t="n">
        <f>F43*W43</f>
        <v>0</v>
      </c>
      <c r="AZ43" t="n">
        <f>G43*W43</f>
        <v>0</v>
      </c>
      <c r="BA43" t="n">
        <f>H43*W43</f>
        <v>0</v>
      </c>
      <c r="BB43" t="n">
        <f>I43*W43</f>
        <v>0</v>
      </c>
      <c r="BC43" t="n">
        <f>J43*W43</f>
        <v>0</v>
      </c>
      <c r="BD43" t="n">
        <f>K43*W43</f>
        <v>0</v>
      </c>
      <c r="BE43" t="n">
        <f>L43*W43</f>
        <v>0</v>
      </c>
      <c r="BF43" t="n">
        <f>M43*W43</f>
        <v>0</v>
      </c>
      <c r="BG43" t="n">
        <f>N43*W43</f>
        <v>0</v>
      </c>
      <c r="BH43" t="n">
        <f>O43*W43</f>
        <v>0</v>
      </c>
      <c r="BI43" t="n">
        <f>P43*W43</f>
        <v>0</v>
      </c>
      <c r="BJ43" t="n">
        <f>Q43*W43</f>
        <v>0</v>
      </c>
      <c r="BM43" t="n">
        <f>IF(OR(Personnes!$A43="",1&gt;Paramètres!$B$9),0,MAX(0,SUMIF($B$8:$B$247,Personnes!$A43,$E$8:$E$247)-'Planning par personne'!C43))</f>
        <v>0</v>
      </c>
      <c r="BN43" t="n">
        <f>IF(OR(Personnes!$A43="",2&gt;Paramètres!$B$9),0,MAX(0,SUMIF($B$8:$B$247,Personnes!$A43,$F$8:$F$247)-'Planning par personne'!D43))</f>
        <v>0</v>
      </c>
      <c r="BO43" t="n">
        <f>IF(OR(Personnes!$A43="",3&gt;Paramètres!$B$9),0,MAX(0,SUMIF($B$8:$B$247,Personnes!$A43,$G$8:$G$247)-'Planning par personne'!E43))</f>
        <v>0</v>
      </c>
      <c r="BP43" t="n">
        <f>IF(OR(Personnes!$A43="",4&gt;Paramètres!$B$9),0,MAX(0,SUMIF($B$8:$B$247,Personnes!$A43,$H$8:$H$247)-'Planning par personne'!F43))</f>
        <v>0</v>
      </c>
      <c r="BQ43" t="n">
        <f>IF(OR(Personnes!$A43="",5&gt;Paramètres!$B$9),0,MAX(0,SUMIF($B$8:$B$247,Personnes!$A43,$I$8:$I$247)-'Planning par personne'!G43))</f>
        <v>0</v>
      </c>
      <c r="BR43" t="n">
        <f>IF(OR(Personnes!$A43="",6&gt;Paramètres!$B$9),0,MAX(0,SUMIF($B$8:$B$247,Personnes!$A43,$J$8:$J$247)-'Planning par personne'!H43))</f>
        <v>0</v>
      </c>
      <c r="BS43" t="n">
        <f>IF(OR(Personnes!$A43="",7&gt;Paramètres!$B$9),0,MAX(0,SUMIF($B$8:$B$247,Personnes!$A43,$K$8:$K$247)-'Planning par personne'!I43))</f>
        <v>0</v>
      </c>
      <c r="BT43" t="n">
        <f>IF(OR(Personnes!$A43="",8&gt;Paramètres!$B$9),0,MAX(0,SUMIF($B$8:$B$247,Personnes!$A43,$L$8:$L$247)-'Planning par personne'!J43))</f>
        <v>0</v>
      </c>
      <c r="BU43" t="n">
        <f>IF(OR(Personnes!$A43="",9&gt;Paramètres!$B$9),0,MAX(0,SUMIF($B$8:$B$247,Personnes!$A43,$M$8:$M$247)-'Planning par personne'!K43))</f>
        <v>0</v>
      </c>
      <c r="BV43" t="n">
        <f>IF(OR(Personnes!$A43="",10&gt;Paramètres!$B$9),0,MAX(0,SUMIF($B$8:$B$247,Personnes!$A43,$N$8:$N$247)-'Planning par personne'!L43))</f>
        <v>0</v>
      </c>
      <c r="BW43" t="n">
        <f>IF(OR(Personnes!$A43="",11&gt;Paramètres!$B$9),0,MAX(0,SUMIF($B$8:$B$247,Personnes!$A43,$O$8:$O$247)-'Planning par personne'!M43))</f>
        <v>0</v>
      </c>
      <c r="BX43" t="n">
        <f>IF(OR(Personnes!$A43="",12&gt;Paramètres!$B$9),0,MAX(0,SUMIF($B$8:$B$247,Personnes!$A43,$P$8:$P$247)-'Planning par personne'!N43))</f>
        <v>0</v>
      </c>
      <c r="BY43" t="n">
        <f>IF(OR(Personnes!$A43="",13&gt;Paramètres!$B$9),0,MAX(0,SUMIF($B$8:$B$247,Personnes!$A43,$Q$8:$Q$247)-'Planning par personne'!O43))</f>
        <v>0</v>
      </c>
      <c r="BZ43" t="n">
        <f>IF(OR(Personnes!$A43="",1&gt;Paramètres!$B$9),0,MAX(0,SUMIF($B$8:$B$247,Personnes!$A43,$AK$8:$AK$247)-'Planning par personne'!C43))</f>
        <v>0</v>
      </c>
      <c r="CA43" t="n">
        <f>IF(OR(Personnes!$A43="",2&gt;Paramètres!$B$9),0,MAX(0,SUMIF($B$8:$B$247,Personnes!$A43,$AL$8:$AL$247)-'Planning par personne'!D43))</f>
        <v>0</v>
      </c>
      <c r="CB43" t="n">
        <f>IF(OR(Personnes!$A43="",3&gt;Paramètres!$B$9),0,MAX(0,SUMIF($B$8:$B$247,Personnes!$A43,$AM$8:$AM$247)-'Planning par personne'!E43))</f>
        <v>0</v>
      </c>
      <c r="CC43" t="n">
        <f>IF(OR(Personnes!$A43="",4&gt;Paramètres!$B$9),0,MAX(0,SUMIF($B$8:$B$247,Personnes!$A43,$AN$8:$AN$247)-'Planning par personne'!F43))</f>
        <v>0</v>
      </c>
      <c r="CD43" t="n">
        <f>IF(OR(Personnes!$A43="",5&gt;Paramètres!$B$9),0,MAX(0,SUMIF($B$8:$B$247,Personnes!$A43,$AO$8:$AO$247)-'Planning par personne'!G43))</f>
        <v>0</v>
      </c>
      <c r="CE43" t="n">
        <f>IF(OR(Personnes!$A43="",6&gt;Paramètres!$B$9),0,MAX(0,SUMIF($B$8:$B$247,Personnes!$A43,$AP$8:$AP$247)-'Planning par personne'!H43))</f>
        <v>0</v>
      </c>
      <c r="CF43" t="n">
        <f>IF(OR(Personnes!$A43="",7&gt;Paramètres!$B$9),0,MAX(0,SUMIF($B$8:$B$247,Personnes!$A43,$AQ$8:$AQ$247)-'Planning par personne'!I43))</f>
        <v>0</v>
      </c>
      <c r="CG43" t="n">
        <f>IF(OR(Personnes!$A43="",8&gt;Paramètres!$B$9),0,MAX(0,SUMIF($B$8:$B$247,Personnes!$A43,$AR$8:$AR$247)-'Planning par personne'!J43))</f>
        <v>0</v>
      </c>
      <c r="CH43" t="n">
        <f>IF(OR(Personnes!$A43="",9&gt;Paramètres!$B$9),0,MAX(0,SUMIF($B$8:$B$247,Personnes!$A43,$AS$8:$AS$247)-'Planning par personne'!K43))</f>
        <v>0</v>
      </c>
      <c r="CI43" t="n">
        <f>IF(OR(Personnes!$A43="",10&gt;Paramètres!$B$9),0,MAX(0,SUMIF($B$8:$B$247,Personnes!$A43,$AT$8:$AT$247)-'Planning par personne'!L43))</f>
        <v>0</v>
      </c>
      <c r="CJ43" t="n">
        <f>IF(OR(Personnes!$A43="",11&gt;Paramètres!$B$9),0,MAX(0,SUMIF($B$8:$B$247,Personnes!$A43,$AU$8:$AU$247)-'Planning par personne'!M43))</f>
        <v>0</v>
      </c>
      <c r="CK43" t="n">
        <f>IF(OR(Personnes!$A43="",12&gt;Paramètres!$B$9),0,MAX(0,SUMIF($B$8:$B$247,Personnes!$A43,$AV$8:$AV$247)-'Planning par personne'!N43))</f>
        <v>0</v>
      </c>
      <c r="CL43" t="n">
        <f>IF(OR(Personnes!$A43="",13&gt;Paramètres!$B$9),0,MAX(0,SUMIF($B$8:$B$247,Personnes!$A43,$AW$8:$AW$247)-'Planning par personne'!O43))</f>
        <v>0</v>
      </c>
      <c r="CM43" t="n">
        <f>IF(OR(Personnes!$A43="",1&gt;Paramètres!$B$9),0,MAX(0,SUMIF($B$8:$B$247,Personnes!$A43,$AX$8:$AX$247)-'Planning par personne'!C43))</f>
        <v>0</v>
      </c>
      <c r="CN43" t="n">
        <f>IF(OR(Personnes!$A43="",2&gt;Paramètres!$B$9),0,MAX(0,SUMIF($B$8:$B$247,Personnes!$A43,$AY$8:$AY$247)-'Planning par personne'!D43))</f>
        <v>0</v>
      </c>
      <c r="CO43" t="n">
        <f>IF(OR(Personnes!$A43="",3&gt;Paramètres!$B$9),0,MAX(0,SUMIF($B$8:$B$247,Personnes!$A43,$AZ$8:$AZ$247)-'Planning par personne'!E43))</f>
        <v>0</v>
      </c>
      <c r="CP43" t="n">
        <f>IF(OR(Personnes!$A43="",4&gt;Paramètres!$B$9),0,MAX(0,SUMIF($B$8:$B$247,Personnes!$A43,$BA$8:$BA$247)-'Planning par personne'!F43))</f>
        <v>0</v>
      </c>
      <c r="CQ43" t="n">
        <f>IF(OR(Personnes!$A43="",5&gt;Paramètres!$B$9),0,MAX(0,SUMIF($B$8:$B$247,Personnes!$A43,$BB$8:$BB$247)-'Planning par personne'!G43))</f>
        <v>0</v>
      </c>
      <c r="CR43" t="n">
        <f>IF(OR(Personnes!$A43="",6&gt;Paramètres!$B$9),0,MAX(0,SUMIF($B$8:$B$247,Personnes!$A43,$BC$8:$BC$247)-'Planning par personne'!H43))</f>
        <v>0</v>
      </c>
      <c r="CS43" t="n">
        <f>IF(OR(Personnes!$A43="",7&gt;Paramètres!$B$9),0,MAX(0,SUMIF($B$8:$B$247,Personnes!$A43,$BD$8:$BD$247)-'Planning par personne'!I43))</f>
        <v>0</v>
      </c>
      <c r="CT43" t="n">
        <f>IF(OR(Personnes!$A43="",8&gt;Paramètres!$B$9),0,MAX(0,SUMIF($B$8:$B$247,Personnes!$A43,$BE$8:$BE$247)-'Planning par personne'!J43))</f>
        <v>0</v>
      </c>
      <c r="CU43" t="n">
        <f>IF(OR(Personnes!$A43="",9&gt;Paramètres!$B$9),0,MAX(0,SUMIF($B$8:$B$247,Personnes!$A43,$BF$8:$BF$247)-'Planning par personne'!K43))</f>
        <v>0</v>
      </c>
      <c r="CV43" t="n">
        <f>IF(OR(Personnes!$A43="",10&gt;Paramètres!$B$9),0,MAX(0,SUMIF($B$8:$B$247,Personnes!$A43,$BG$8:$BG$247)-'Planning par personne'!L43))</f>
        <v>0</v>
      </c>
      <c r="CW43" t="n">
        <f>IF(OR(Personnes!$A43="",11&gt;Paramètres!$B$9),0,MAX(0,SUMIF($B$8:$B$247,Personnes!$A43,$BH$8:$BH$247)-'Planning par personne'!M43))</f>
        <v>0</v>
      </c>
      <c r="CX43" t="n">
        <f>IF(OR(Personnes!$A43="",12&gt;Paramètres!$B$9),0,MAX(0,SUMIF($B$8:$B$247,Personnes!$A43,$BI$8:$BI$247)-'Planning par personne'!N43))</f>
        <v>0</v>
      </c>
      <c r="CY43" t="n">
        <f>IF(OR(Personnes!$A43="",13&gt;Paramètres!$B$9),0,MAX(0,SUMIF($B$8:$B$247,Personnes!$A43,$BJ$8:$BJ$247)-'Planning par personne'!O43))</f>
        <v>0</v>
      </c>
      <c r="DJ43" t="n">
        <f>SUM(BM43:BY43)</f>
        <v>0</v>
      </c>
      <c r="DK43" t="n">
        <f>SUM(BZ43:CL43)</f>
        <v>0</v>
      </c>
      <c r="DL43" t="n">
        <f>SUM(CM43:CY43)</f>
        <v>0</v>
      </c>
      <c r="DM43" t="str">
        <f>IF(AND(Projets!A43&lt;&gt;"",Projets!G43="Engager"),DM42&amp;IF(DM42="","",", ")&amp;Projets!B43,DM42)</f>
        <v/>
      </c>
      <c r="DN43" t="str">
        <f>IF(AND(Projets!A43&lt;&gt;"",Projets!G43="Reporter"),DN42&amp;IF(DN42="","",", ")&amp;Projets!B43,DN42)</f>
        <v/>
      </c>
    </row>
    <row r="44">
      <c r="A44" t="n">
        <f>Charges!A44</f>
        <v>0</v>
      </c>
      <c r="B44" t="n">
        <f>Charges!C44</f>
        <v>0</v>
      </c>
      <c r="C44" t="str">
        <f>Charges!D44</f>
        <v/>
      </c>
      <c r="E44" t="n">
        <f>IF(1&lt;=Paramètres!$B$9,MAX(0,IFERROR(N(IF(ISNUMBER(Charges!F44),MAX(0,Charges!F44),IFERROR(VLOOKUP(Charges!F44,Paramètres!$A$15:$B$18,2,FALSE),0))),0)),0)</f>
        <v>0</v>
      </c>
      <c r="F44" t="n">
        <f>IF(2&lt;=Paramètres!$B$9,MAX(0,IFERROR(N(IF(ISNUMBER(Charges!G44),MAX(0,Charges!G44),IFERROR(VLOOKUP(Charges!G44,Paramètres!$A$15:$B$18,2,FALSE),0))),0)),0)</f>
        <v>0</v>
      </c>
      <c r="G44" t="n">
        <f>IF(3&lt;=Paramètres!$B$9,MAX(0,IFERROR(N(IF(ISNUMBER(Charges!H44),MAX(0,Charges!H44),IFERROR(VLOOKUP(Charges!H44,Paramètres!$A$15:$B$18,2,FALSE),0))),0)),0)</f>
        <v>0</v>
      </c>
      <c r="H44" t="n">
        <f>IF(4&lt;=Paramètres!$B$9,MAX(0,IFERROR(N(IF(ISNUMBER(Charges!I44),MAX(0,Charges!I44),IFERROR(VLOOKUP(Charges!I44,Paramètres!$A$15:$B$18,2,FALSE),0))),0)),0)</f>
        <v>0</v>
      </c>
      <c r="I44" t="n">
        <f>IF(5&lt;=Paramètres!$B$9,MAX(0,IFERROR(N(IF(ISNUMBER(Charges!J44),MAX(0,Charges!J44),IFERROR(VLOOKUP(Charges!J44,Paramètres!$A$15:$B$18,2,FALSE),0))),0)),0)</f>
        <v>0</v>
      </c>
      <c r="J44" t="n">
        <f>IF(6&lt;=Paramètres!$B$9,MAX(0,IFERROR(N(IF(ISNUMBER(Charges!K44),MAX(0,Charges!K44),IFERROR(VLOOKUP(Charges!K44,Paramètres!$A$15:$B$18,2,FALSE),0))),0)),0)</f>
        <v>0</v>
      </c>
      <c r="K44" t="n">
        <f>IF(7&lt;=Paramètres!$B$9,MAX(0,IFERROR(N(IF(ISNUMBER(Charges!L44),MAX(0,Charges!L44),IFERROR(VLOOKUP(Charges!L44,Paramètres!$A$15:$B$18,2,FALSE),0))),0)),0)</f>
        <v>0</v>
      </c>
      <c r="L44" t="n">
        <f>IF(8&lt;=Paramètres!$B$9,MAX(0,IFERROR(N(IF(ISNUMBER(Charges!M44),MAX(0,Charges!M44),IFERROR(VLOOKUP(Charges!M44,Paramètres!$A$15:$B$18,2,FALSE),0))),0)),0)</f>
        <v>0</v>
      </c>
      <c r="M44" t="n">
        <f>IF(9&lt;=Paramètres!$B$9,MAX(0,IFERROR(N(IF(ISNUMBER(Charges!N44),MAX(0,Charges!N44),IFERROR(VLOOKUP(Charges!N44,Paramètres!$A$15:$B$18,2,FALSE),0))),0)),0)</f>
        <v>0</v>
      </c>
      <c r="N44" t="n">
        <f>IF(10&lt;=Paramètres!$B$9,MAX(0,IFERROR(N(IF(ISNUMBER(Charges!O44),MAX(0,Charges!O44),IFERROR(VLOOKUP(Charges!O44,Paramètres!$A$15:$B$18,2,FALSE),0))),0)),0)</f>
        <v>0</v>
      </c>
      <c r="O44" t="n">
        <f>IF(11&lt;=Paramètres!$B$9,MAX(0,IFERROR(N(IF(ISNUMBER(Charges!P44),MAX(0,Charges!P44),IFERROR(VLOOKUP(Charges!P44,Paramètres!$A$15:$B$18,2,FALSE),0))),0)),0)</f>
        <v>0</v>
      </c>
      <c r="P44" t="n">
        <f>IF(12&lt;=Paramètres!$B$9,MAX(0,IFERROR(N(IF(ISNUMBER(Charges!Q44),MAX(0,Charges!Q44),IFERROR(VLOOKUP(Charges!Q44,Paramètres!$A$15:$B$18,2,FALSE),0))),0)),0)</f>
        <v>0</v>
      </c>
      <c r="Q44" t="n">
        <f>IF(13&lt;=Paramètres!$B$9,MAX(0,IFERROR(N(IF(ISNUMBER(Charges!R44),MAX(0,Charges!R44),IFERROR(VLOOKUP(Charges!R44,Paramètres!$A$15:$B$18,2,FALSE),0))),0)),0)</f>
        <v>0</v>
      </c>
      <c r="R44" t="n">
        <f>SUM(E44:Q44)</f>
        <v>0</v>
      </c>
      <c r="S44" t="n">
        <f>IF(IFERROR(VLOOKUP(A44,'Projets'!$A$8:$Z$67,7,FALSE),"")="Engager",1,0)</f>
        <v>0</v>
      </c>
      <c r="T44" t="n">
        <f>IF(OR(Charges!F44="",AND(ISNUMBER(Charges!F44),Charges!F44&gt;=0),Charges!F44="S",Charges!F44="M",Charges!F44="L",Charges!F44="XL"),0,1)+IF(OR(Charges!G44="",AND(ISNUMBER(Charges!G44),Charges!G44&gt;=0),Charges!G44="S",Charges!G44="M",Charges!G44="L",Charges!G44="XL"),0,1)+IF(OR(Charges!H44="",AND(ISNUMBER(Charges!H44),Charges!H44&gt;=0),Charges!H44="S",Charges!H44="M",Charges!H44="L",Charges!H44="XL"),0,1)+IF(OR(Charges!I44="",AND(ISNUMBER(Charges!I44),Charges!I44&gt;=0),Charges!I44="S",Charges!I44="M",Charges!I44="L",Charges!I44="XL"),0,1)+IF(OR(Charges!J44="",AND(ISNUMBER(Charges!J44),Charges!J44&gt;=0),Charges!J44="S",Charges!J44="M",Charges!J44="L",Charges!J44="XL"),0,1)+IF(OR(Charges!K44="",AND(ISNUMBER(Charges!K44),Charges!K44&gt;=0),Charges!K44="S",Charges!K44="M",Charges!K44="L",Charges!K44="XL"),0,1)+IF(OR(Charges!L44="",AND(ISNUMBER(Charges!L44),Charges!L44&gt;=0),Charges!L44="S",Charges!L44="M",Charges!L44="L",Charges!L44="XL"),0,1)+IF(OR(Charges!M44="",AND(ISNUMBER(Charges!M44),Charges!M44&gt;=0),Charges!M44="S",Charges!M44="M",Charges!M44="L",Charges!M44="XL"),0,1)+IF(OR(Charges!N44="",AND(ISNUMBER(Charges!N44),Charges!N44&gt;=0),Charges!N44="S",Charges!N44="M",Charges!N44="L",Charges!N44="XL"),0,1)+IF(OR(Charges!O44="",AND(ISNUMBER(Charges!O44),Charges!O44&gt;=0),Charges!O44="S",Charges!O44="M",Charges!O44="L",Charges!O44="XL"),0,1)+IF(OR(Charges!P44="",AND(ISNUMBER(Charges!P44),Charges!P44&gt;=0),Charges!P44="S",Charges!P44="M",Charges!P44="L",Charges!P44="XL"),0,1)+IF(OR(Charges!Q44="",AND(ISNUMBER(Charges!Q44),Charges!Q44&gt;=0),Charges!Q44="S",Charges!Q44="M",Charges!Q44="L",Charges!Q44="XL"),0,1)+IF(OR(Charges!R44="",AND(ISNUMBER(Charges!R44),Charges!R44&gt;=0),Charges!R44="S",Charges!R44="M",Charges!R44="L",Charges!R44="XL"),0,1)</f>
        <v>0</v>
      </c>
      <c r="U44" t="n">
        <f>IF(AND(1&gt;Paramètres!$B$9,Charges!F44&lt;&gt;"",Charges!F44&lt;&gt;0),1,0)+IF(AND(2&gt;Paramètres!$B$9,Charges!G44&lt;&gt;"",Charges!G44&lt;&gt;0),1,0)+IF(AND(3&gt;Paramètres!$B$9,Charges!H44&lt;&gt;"",Charges!H44&lt;&gt;0),1,0)+IF(AND(4&gt;Paramètres!$B$9,Charges!I44&lt;&gt;"",Charges!I44&lt;&gt;0),1,0)+IF(AND(5&gt;Paramètres!$B$9,Charges!J44&lt;&gt;"",Charges!J44&lt;&gt;0),1,0)+IF(AND(6&gt;Paramètres!$B$9,Charges!K44&lt;&gt;"",Charges!K44&lt;&gt;0),1,0)+IF(AND(7&gt;Paramètres!$B$9,Charges!L44&lt;&gt;"",Charges!L44&lt;&gt;0),1,0)+IF(AND(8&gt;Paramètres!$B$9,Charges!M44&lt;&gt;"",Charges!M44&lt;&gt;0),1,0)+IF(AND(9&gt;Paramètres!$B$9,Charges!N44&lt;&gt;"",Charges!N44&lt;&gt;0),1,0)+IF(AND(10&gt;Paramètres!$B$9,Charges!O44&lt;&gt;"",Charges!O44&lt;&gt;0),1,0)+IF(AND(11&gt;Paramètres!$B$9,Charges!P44&lt;&gt;"",Charges!P44&lt;&gt;0),1,0)+IF(AND(12&gt;Paramètres!$B$9,Charges!Q44&lt;&gt;"",Charges!Q44&lt;&gt;0),1,0)+IF(AND(13&gt;Paramètres!$B$9,Charges!R44&lt;&gt;"",Charges!R44&lt;&gt;0),1,0)</f>
        <v>0</v>
      </c>
      <c r="V44" t="n">
        <f>IF(IFERROR(VLOOKUP(A44,'Projets'!$A$8:$Z$67,5,FALSE),"")="Engager",1,0)</f>
        <v>0</v>
      </c>
      <c r="W44" t="n">
        <f>IF(IFERROR(VLOOKUP(A44,'Projets'!$A$8:$Z$67,6,FALSE),"")="Engager",1,0)</f>
        <v>0</v>
      </c>
      <c r="X44" t="n">
        <f>E44*S44</f>
        <v>0</v>
      </c>
      <c r="Y44" t="n">
        <f>F44*S44</f>
        <v>0</v>
      </c>
      <c r="Z44" t="n">
        <f>G44*S44</f>
        <v>0</v>
      </c>
      <c r="AA44" t="n">
        <f>H44*S44</f>
        <v>0</v>
      </c>
      <c r="AB44" t="n">
        <f>I44*S44</f>
        <v>0</v>
      </c>
      <c r="AC44" t="n">
        <f>J44*S44</f>
        <v>0</v>
      </c>
      <c r="AD44" t="n">
        <f>K44*S44</f>
        <v>0</v>
      </c>
      <c r="AE44" t="n">
        <f>L44*S44</f>
        <v>0</v>
      </c>
      <c r="AF44" t="n">
        <f>M44*S44</f>
        <v>0</v>
      </c>
      <c r="AG44" t="n">
        <f>N44*S44</f>
        <v>0</v>
      </c>
      <c r="AH44" t="n">
        <f>O44*S44</f>
        <v>0</v>
      </c>
      <c r="AI44" t="n">
        <f>P44*S44</f>
        <v>0</v>
      </c>
      <c r="AJ44" t="n">
        <f>Q44*S44</f>
        <v>0</v>
      </c>
      <c r="AK44" t="n">
        <f>E44*V44</f>
        <v>0</v>
      </c>
      <c r="AL44" t="n">
        <f>F44*V44</f>
        <v>0</v>
      </c>
      <c r="AM44" t="n">
        <f>G44*V44</f>
        <v>0</v>
      </c>
      <c r="AN44" t="n">
        <f>H44*V44</f>
        <v>0</v>
      </c>
      <c r="AO44" t="n">
        <f>I44*V44</f>
        <v>0</v>
      </c>
      <c r="AP44" t="n">
        <f>J44*V44</f>
        <v>0</v>
      </c>
      <c r="AQ44" t="n">
        <f>K44*V44</f>
        <v>0</v>
      </c>
      <c r="AR44" t="n">
        <f>L44*V44</f>
        <v>0</v>
      </c>
      <c r="AS44" t="n">
        <f>M44*V44</f>
        <v>0</v>
      </c>
      <c r="AT44" t="n">
        <f>N44*V44</f>
        <v>0</v>
      </c>
      <c r="AU44" t="n">
        <f>O44*V44</f>
        <v>0</v>
      </c>
      <c r="AV44" t="n">
        <f>P44*V44</f>
        <v>0</v>
      </c>
      <c r="AW44" t="n">
        <f>Q44*V44</f>
        <v>0</v>
      </c>
      <c r="AX44" t="n">
        <f>E44*W44</f>
        <v>0</v>
      </c>
      <c r="AY44" t="n">
        <f>F44*W44</f>
        <v>0</v>
      </c>
      <c r="AZ44" t="n">
        <f>G44*W44</f>
        <v>0</v>
      </c>
      <c r="BA44" t="n">
        <f>H44*W44</f>
        <v>0</v>
      </c>
      <c r="BB44" t="n">
        <f>I44*W44</f>
        <v>0</v>
      </c>
      <c r="BC44" t="n">
        <f>J44*W44</f>
        <v>0</v>
      </c>
      <c r="BD44" t="n">
        <f>K44*W44</f>
        <v>0</v>
      </c>
      <c r="BE44" t="n">
        <f>L44*W44</f>
        <v>0</v>
      </c>
      <c r="BF44" t="n">
        <f>M44*W44</f>
        <v>0</v>
      </c>
      <c r="BG44" t="n">
        <f>N44*W44</f>
        <v>0</v>
      </c>
      <c r="BH44" t="n">
        <f>O44*W44</f>
        <v>0</v>
      </c>
      <c r="BI44" t="n">
        <f>P44*W44</f>
        <v>0</v>
      </c>
      <c r="BJ44" t="n">
        <f>Q44*W44</f>
        <v>0</v>
      </c>
      <c r="BM44" t="n">
        <f>IF(OR(Personnes!$A44="",1&gt;Paramètres!$B$9),0,MAX(0,SUMIF($B$8:$B$247,Personnes!$A44,$E$8:$E$247)-'Planning par personne'!C44))</f>
        <v>0</v>
      </c>
      <c r="BN44" t="n">
        <f>IF(OR(Personnes!$A44="",2&gt;Paramètres!$B$9),0,MAX(0,SUMIF($B$8:$B$247,Personnes!$A44,$F$8:$F$247)-'Planning par personne'!D44))</f>
        <v>0</v>
      </c>
      <c r="BO44" t="n">
        <f>IF(OR(Personnes!$A44="",3&gt;Paramètres!$B$9),0,MAX(0,SUMIF($B$8:$B$247,Personnes!$A44,$G$8:$G$247)-'Planning par personne'!E44))</f>
        <v>0</v>
      </c>
      <c r="BP44" t="n">
        <f>IF(OR(Personnes!$A44="",4&gt;Paramètres!$B$9),0,MAX(0,SUMIF($B$8:$B$247,Personnes!$A44,$H$8:$H$247)-'Planning par personne'!F44))</f>
        <v>0</v>
      </c>
      <c r="BQ44" t="n">
        <f>IF(OR(Personnes!$A44="",5&gt;Paramètres!$B$9),0,MAX(0,SUMIF($B$8:$B$247,Personnes!$A44,$I$8:$I$247)-'Planning par personne'!G44))</f>
        <v>0</v>
      </c>
      <c r="BR44" t="n">
        <f>IF(OR(Personnes!$A44="",6&gt;Paramètres!$B$9),0,MAX(0,SUMIF($B$8:$B$247,Personnes!$A44,$J$8:$J$247)-'Planning par personne'!H44))</f>
        <v>0</v>
      </c>
      <c r="BS44" t="n">
        <f>IF(OR(Personnes!$A44="",7&gt;Paramètres!$B$9),0,MAX(0,SUMIF($B$8:$B$247,Personnes!$A44,$K$8:$K$247)-'Planning par personne'!I44))</f>
        <v>0</v>
      </c>
      <c r="BT44" t="n">
        <f>IF(OR(Personnes!$A44="",8&gt;Paramètres!$B$9),0,MAX(0,SUMIF($B$8:$B$247,Personnes!$A44,$L$8:$L$247)-'Planning par personne'!J44))</f>
        <v>0</v>
      </c>
      <c r="BU44" t="n">
        <f>IF(OR(Personnes!$A44="",9&gt;Paramètres!$B$9),0,MAX(0,SUMIF($B$8:$B$247,Personnes!$A44,$M$8:$M$247)-'Planning par personne'!K44))</f>
        <v>0</v>
      </c>
      <c r="BV44" t="n">
        <f>IF(OR(Personnes!$A44="",10&gt;Paramètres!$B$9),0,MAX(0,SUMIF($B$8:$B$247,Personnes!$A44,$N$8:$N$247)-'Planning par personne'!L44))</f>
        <v>0</v>
      </c>
      <c r="BW44" t="n">
        <f>IF(OR(Personnes!$A44="",11&gt;Paramètres!$B$9),0,MAX(0,SUMIF($B$8:$B$247,Personnes!$A44,$O$8:$O$247)-'Planning par personne'!M44))</f>
        <v>0</v>
      </c>
      <c r="BX44" t="n">
        <f>IF(OR(Personnes!$A44="",12&gt;Paramètres!$B$9),0,MAX(0,SUMIF($B$8:$B$247,Personnes!$A44,$P$8:$P$247)-'Planning par personne'!N44))</f>
        <v>0</v>
      </c>
      <c r="BY44" t="n">
        <f>IF(OR(Personnes!$A44="",13&gt;Paramètres!$B$9),0,MAX(0,SUMIF($B$8:$B$247,Personnes!$A44,$Q$8:$Q$247)-'Planning par personne'!O44))</f>
        <v>0</v>
      </c>
      <c r="BZ44" t="n">
        <f>IF(OR(Personnes!$A44="",1&gt;Paramètres!$B$9),0,MAX(0,SUMIF($B$8:$B$247,Personnes!$A44,$AK$8:$AK$247)-'Planning par personne'!C44))</f>
        <v>0</v>
      </c>
      <c r="CA44" t="n">
        <f>IF(OR(Personnes!$A44="",2&gt;Paramètres!$B$9),0,MAX(0,SUMIF($B$8:$B$247,Personnes!$A44,$AL$8:$AL$247)-'Planning par personne'!D44))</f>
        <v>0</v>
      </c>
      <c r="CB44" t="n">
        <f>IF(OR(Personnes!$A44="",3&gt;Paramètres!$B$9),0,MAX(0,SUMIF($B$8:$B$247,Personnes!$A44,$AM$8:$AM$247)-'Planning par personne'!E44))</f>
        <v>0</v>
      </c>
      <c r="CC44" t="n">
        <f>IF(OR(Personnes!$A44="",4&gt;Paramètres!$B$9),0,MAX(0,SUMIF($B$8:$B$247,Personnes!$A44,$AN$8:$AN$247)-'Planning par personne'!F44))</f>
        <v>0</v>
      </c>
      <c r="CD44" t="n">
        <f>IF(OR(Personnes!$A44="",5&gt;Paramètres!$B$9),0,MAX(0,SUMIF($B$8:$B$247,Personnes!$A44,$AO$8:$AO$247)-'Planning par personne'!G44))</f>
        <v>0</v>
      </c>
      <c r="CE44" t="n">
        <f>IF(OR(Personnes!$A44="",6&gt;Paramètres!$B$9),0,MAX(0,SUMIF($B$8:$B$247,Personnes!$A44,$AP$8:$AP$247)-'Planning par personne'!H44))</f>
        <v>0</v>
      </c>
      <c r="CF44" t="n">
        <f>IF(OR(Personnes!$A44="",7&gt;Paramètres!$B$9),0,MAX(0,SUMIF($B$8:$B$247,Personnes!$A44,$AQ$8:$AQ$247)-'Planning par personne'!I44))</f>
        <v>0</v>
      </c>
      <c r="CG44" t="n">
        <f>IF(OR(Personnes!$A44="",8&gt;Paramètres!$B$9),0,MAX(0,SUMIF($B$8:$B$247,Personnes!$A44,$AR$8:$AR$247)-'Planning par personne'!J44))</f>
        <v>0</v>
      </c>
      <c r="CH44" t="n">
        <f>IF(OR(Personnes!$A44="",9&gt;Paramètres!$B$9),0,MAX(0,SUMIF($B$8:$B$247,Personnes!$A44,$AS$8:$AS$247)-'Planning par personne'!K44))</f>
        <v>0</v>
      </c>
      <c r="CI44" t="n">
        <f>IF(OR(Personnes!$A44="",10&gt;Paramètres!$B$9),0,MAX(0,SUMIF($B$8:$B$247,Personnes!$A44,$AT$8:$AT$247)-'Planning par personne'!L44))</f>
        <v>0</v>
      </c>
      <c r="CJ44" t="n">
        <f>IF(OR(Personnes!$A44="",11&gt;Paramètres!$B$9),0,MAX(0,SUMIF($B$8:$B$247,Personnes!$A44,$AU$8:$AU$247)-'Planning par personne'!M44))</f>
        <v>0</v>
      </c>
      <c r="CK44" t="n">
        <f>IF(OR(Personnes!$A44="",12&gt;Paramètres!$B$9),0,MAX(0,SUMIF($B$8:$B$247,Personnes!$A44,$AV$8:$AV$247)-'Planning par personne'!N44))</f>
        <v>0</v>
      </c>
      <c r="CL44" t="n">
        <f>IF(OR(Personnes!$A44="",13&gt;Paramètres!$B$9),0,MAX(0,SUMIF($B$8:$B$247,Personnes!$A44,$AW$8:$AW$247)-'Planning par personne'!O44))</f>
        <v>0</v>
      </c>
      <c r="CM44" t="n">
        <f>IF(OR(Personnes!$A44="",1&gt;Paramètres!$B$9),0,MAX(0,SUMIF($B$8:$B$247,Personnes!$A44,$AX$8:$AX$247)-'Planning par personne'!C44))</f>
        <v>0</v>
      </c>
      <c r="CN44" t="n">
        <f>IF(OR(Personnes!$A44="",2&gt;Paramètres!$B$9),0,MAX(0,SUMIF($B$8:$B$247,Personnes!$A44,$AY$8:$AY$247)-'Planning par personne'!D44))</f>
        <v>0</v>
      </c>
      <c r="CO44" t="n">
        <f>IF(OR(Personnes!$A44="",3&gt;Paramètres!$B$9),0,MAX(0,SUMIF($B$8:$B$247,Personnes!$A44,$AZ$8:$AZ$247)-'Planning par personne'!E44))</f>
        <v>0</v>
      </c>
      <c r="CP44" t="n">
        <f>IF(OR(Personnes!$A44="",4&gt;Paramètres!$B$9),0,MAX(0,SUMIF($B$8:$B$247,Personnes!$A44,$BA$8:$BA$247)-'Planning par personne'!F44))</f>
        <v>0</v>
      </c>
      <c r="CQ44" t="n">
        <f>IF(OR(Personnes!$A44="",5&gt;Paramètres!$B$9),0,MAX(0,SUMIF($B$8:$B$247,Personnes!$A44,$BB$8:$BB$247)-'Planning par personne'!G44))</f>
        <v>0</v>
      </c>
      <c r="CR44" t="n">
        <f>IF(OR(Personnes!$A44="",6&gt;Paramètres!$B$9),0,MAX(0,SUMIF($B$8:$B$247,Personnes!$A44,$BC$8:$BC$247)-'Planning par personne'!H44))</f>
        <v>0</v>
      </c>
      <c r="CS44" t="n">
        <f>IF(OR(Personnes!$A44="",7&gt;Paramètres!$B$9),0,MAX(0,SUMIF($B$8:$B$247,Personnes!$A44,$BD$8:$BD$247)-'Planning par personne'!I44))</f>
        <v>0</v>
      </c>
      <c r="CT44" t="n">
        <f>IF(OR(Personnes!$A44="",8&gt;Paramètres!$B$9),0,MAX(0,SUMIF($B$8:$B$247,Personnes!$A44,$BE$8:$BE$247)-'Planning par personne'!J44))</f>
        <v>0</v>
      </c>
      <c r="CU44" t="n">
        <f>IF(OR(Personnes!$A44="",9&gt;Paramètres!$B$9),0,MAX(0,SUMIF($B$8:$B$247,Personnes!$A44,$BF$8:$BF$247)-'Planning par personne'!K44))</f>
        <v>0</v>
      </c>
      <c r="CV44" t="n">
        <f>IF(OR(Personnes!$A44="",10&gt;Paramètres!$B$9),0,MAX(0,SUMIF($B$8:$B$247,Personnes!$A44,$BG$8:$BG$247)-'Planning par personne'!L44))</f>
        <v>0</v>
      </c>
      <c r="CW44" t="n">
        <f>IF(OR(Personnes!$A44="",11&gt;Paramètres!$B$9),0,MAX(0,SUMIF($B$8:$B$247,Personnes!$A44,$BH$8:$BH$247)-'Planning par personne'!M44))</f>
        <v>0</v>
      </c>
      <c r="CX44" t="n">
        <f>IF(OR(Personnes!$A44="",12&gt;Paramètres!$B$9),0,MAX(0,SUMIF($B$8:$B$247,Personnes!$A44,$BI$8:$BI$247)-'Planning par personne'!N44))</f>
        <v>0</v>
      </c>
      <c r="CY44" t="n">
        <f>IF(OR(Personnes!$A44="",13&gt;Paramètres!$B$9),0,MAX(0,SUMIF($B$8:$B$247,Personnes!$A44,$BJ$8:$BJ$247)-'Planning par personne'!O44))</f>
        <v>0</v>
      </c>
      <c r="DJ44" t="n">
        <f>SUM(BM44:BY44)</f>
        <v>0</v>
      </c>
      <c r="DK44" t="n">
        <f>SUM(BZ44:CL44)</f>
        <v>0</v>
      </c>
      <c r="DL44" t="n">
        <f>SUM(CM44:CY44)</f>
        <v>0</v>
      </c>
      <c r="DM44" t="str">
        <f>IF(AND(Projets!A44&lt;&gt;"",Projets!G44="Engager"),DM43&amp;IF(DM43="","",", ")&amp;Projets!B44,DM43)</f>
        <v/>
      </c>
      <c r="DN44" t="str">
        <f>IF(AND(Projets!A44&lt;&gt;"",Projets!G44="Reporter"),DN43&amp;IF(DN43="","",", ")&amp;Projets!B44,DN43)</f>
        <v/>
      </c>
    </row>
    <row r="45">
      <c r="A45" t="n">
        <f>Charges!A45</f>
        <v>0</v>
      </c>
      <c r="B45" t="n">
        <f>Charges!C45</f>
        <v>0</v>
      </c>
      <c r="C45" t="str">
        <f>Charges!D45</f>
        <v/>
      </c>
      <c r="E45" t="n">
        <f>IF(1&lt;=Paramètres!$B$9,MAX(0,IFERROR(N(IF(ISNUMBER(Charges!F45),MAX(0,Charges!F45),IFERROR(VLOOKUP(Charges!F45,Paramètres!$A$15:$B$18,2,FALSE),0))),0)),0)</f>
        <v>0</v>
      </c>
      <c r="F45" t="n">
        <f>IF(2&lt;=Paramètres!$B$9,MAX(0,IFERROR(N(IF(ISNUMBER(Charges!G45),MAX(0,Charges!G45),IFERROR(VLOOKUP(Charges!G45,Paramètres!$A$15:$B$18,2,FALSE),0))),0)),0)</f>
        <v>0</v>
      </c>
      <c r="G45" t="n">
        <f>IF(3&lt;=Paramètres!$B$9,MAX(0,IFERROR(N(IF(ISNUMBER(Charges!H45),MAX(0,Charges!H45),IFERROR(VLOOKUP(Charges!H45,Paramètres!$A$15:$B$18,2,FALSE),0))),0)),0)</f>
        <v>0</v>
      </c>
      <c r="H45" t="n">
        <f>IF(4&lt;=Paramètres!$B$9,MAX(0,IFERROR(N(IF(ISNUMBER(Charges!I45),MAX(0,Charges!I45),IFERROR(VLOOKUP(Charges!I45,Paramètres!$A$15:$B$18,2,FALSE),0))),0)),0)</f>
        <v>0</v>
      </c>
      <c r="I45" t="n">
        <f>IF(5&lt;=Paramètres!$B$9,MAX(0,IFERROR(N(IF(ISNUMBER(Charges!J45),MAX(0,Charges!J45),IFERROR(VLOOKUP(Charges!J45,Paramètres!$A$15:$B$18,2,FALSE),0))),0)),0)</f>
        <v>0</v>
      </c>
      <c r="J45" t="n">
        <f>IF(6&lt;=Paramètres!$B$9,MAX(0,IFERROR(N(IF(ISNUMBER(Charges!K45),MAX(0,Charges!K45),IFERROR(VLOOKUP(Charges!K45,Paramètres!$A$15:$B$18,2,FALSE),0))),0)),0)</f>
        <v>0</v>
      </c>
      <c r="K45" t="n">
        <f>IF(7&lt;=Paramètres!$B$9,MAX(0,IFERROR(N(IF(ISNUMBER(Charges!L45),MAX(0,Charges!L45),IFERROR(VLOOKUP(Charges!L45,Paramètres!$A$15:$B$18,2,FALSE),0))),0)),0)</f>
        <v>0</v>
      </c>
      <c r="L45" t="n">
        <f>IF(8&lt;=Paramètres!$B$9,MAX(0,IFERROR(N(IF(ISNUMBER(Charges!M45),MAX(0,Charges!M45),IFERROR(VLOOKUP(Charges!M45,Paramètres!$A$15:$B$18,2,FALSE),0))),0)),0)</f>
        <v>0</v>
      </c>
      <c r="M45" t="n">
        <f>IF(9&lt;=Paramètres!$B$9,MAX(0,IFERROR(N(IF(ISNUMBER(Charges!N45),MAX(0,Charges!N45),IFERROR(VLOOKUP(Charges!N45,Paramètres!$A$15:$B$18,2,FALSE),0))),0)),0)</f>
        <v>0</v>
      </c>
      <c r="N45" t="n">
        <f>IF(10&lt;=Paramètres!$B$9,MAX(0,IFERROR(N(IF(ISNUMBER(Charges!O45),MAX(0,Charges!O45),IFERROR(VLOOKUP(Charges!O45,Paramètres!$A$15:$B$18,2,FALSE),0))),0)),0)</f>
        <v>0</v>
      </c>
      <c r="O45" t="n">
        <f>IF(11&lt;=Paramètres!$B$9,MAX(0,IFERROR(N(IF(ISNUMBER(Charges!P45),MAX(0,Charges!P45),IFERROR(VLOOKUP(Charges!P45,Paramètres!$A$15:$B$18,2,FALSE),0))),0)),0)</f>
        <v>0</v>
      </c>
      <c r="P45" t="n">
        <f>IF(12&lt;=Paramètres!$B$9,MAX(0,IFERROR(N(IF(ISNUMBER(Charges!Q45),MAX(0,Charges!Q45),IFERROR(VLOOKUP(Charges!Q45,Paramètres!$A$15:$B$18,2,FALSE),0))),0)),0)</f>
        <v>0</v>
      </c>
      <c r="Q45" t="n">
        <f>IF(13&lt;=Paramètres!$B$9,MAX(0,IFERROR(N(IF(ISNUMBER(Charges!R45),MAX(0,Charges!R45),IFERROR(VLOOKUP(Charges!R45,Paramètres!$A$15:$B$18,2,FALSE),0))),0)),0)</f>
        <v>0</v>
      </c>
      <c r="R45" t="n">
        <f>SUM(E45:Q45)</f>
        <v>0</v>
      </c>
      <c r="S45" t="n">
        <f>IF(IFERROR(VLOOKUP(A45,'Projets'!$A$8:$Z$67,7,FALSE),"")="Engager",1,0)</f>
        <v>0</v>
      </c>
      <c r="T45" t="n">
        <f>IF(OR(Charges!F45="",AND(ISNUMBER(Charges!F45),Charges!F45&gt;=0),Charges!F45="S",Charges!F45="M",Charges!F45="L",Charges!F45="XL"),0,1)+IF(OR(Charges!G45="",AND(ISNUMBER(Charges!G45),Charges!G45&gt;=0),Charges!G45="S",Charges!G45="M",Charges!G45="L",Charges!G45="XL"),0,1)+IF(OR(Charges!H45="",AND(ISNUMBER(Charges!H45),Charges!H45&gt;=0),Charges!H45="S",Charges!H45="M",Charges!H45="L",Charges!H45="XL"),0,1)+IF(OR(Charges!I45="",AND(ISNUMBER(Charges!I45),Charges!I45&gt;=0),Charges!I45="S",Charges!I45="M",Charges!I45="L",Charges!I45="XL"),0,1)+IF(OR(Charges!J45="",AND(ISNUMBER(Charges!J45),Charges!J45&gt;=0),Charges!J45="S",Charges!J45="M",Charges!J45="L",Charges!J45="XL"),0,1)+IF(OR(Charges!K45="",AND(ISNUMBER(Charges!K45),Charges!K45&gt;=0),Charges!K45="S",Charges!K45="M",Charges!K45="L",Charges!K45="XL"),0,1)+IF(OR(Charges!L45="",AND(ISNUMBER(Charges!L45),Charges!L45&gt;=0),Charges!L45="S",Charges!L45="M",Charges!L45="L",Charges!L45="XL"),0,1)+IF(OR(Charges!M45="",AND(ISNUMBER(Charges!M45),Charges!M45&gt;=0),Charges!M45="S",Charges!M45="M",Charges!M45="L",Charges!M45="XL"),0,1)+IF(OR(Charges!N45="",AND(ISNUMBER(Charges!N45),Charges!N45&gt;=0),Charges!N45="S",Charges!N45="M",Charges!N45="L",Charges!N45="XL"),0,1)+IF(OR(Charges!O45="",AND(ISNUMBER(Charges!O45),Charges!O45&gt;=0),Charges!O45="S",Charges!O45="M",Charges!O45="L",Charges!O45="XL"),0,1)+IF(OR(Charges!P45="",AND(ISNUMBER(Charges!P45),Charges!P45&gt;=0),Charges!P45="S",Charges!P45="M",Charges!P45="L",Charges!P45="XL"),0,1)+IF(OR(Charges!Q45="",AND(ISNUMBER(Charges!Q45),Charges!Q45&gt;=0),Charges!Q45="S",Charges!Q45="M",Charges!Q45="L",Charges!Q45="XL"),0,1)+IF(OR(Charges!R45="",AND(ISNUMBER(Charges!R45),Charges!R45&gt;=0),Charges!R45="S",Charges!R45="M",Charges!R45="L",Charges!R45="XL"),0,1)</f>
        <v>0</v>
      </c>
      <c r="U45" t="n">
        <f>IF(AND(1&gt;Paramètres!$B$9,Charges!F45&lt;&gt;"",Charges!F45&lt;&gt;0),1,0)+IF(AND(2&gt;Paramètres!$B$9,Charges!G45&lt;&gt;"",Charges!G45&lt;&gt;0),1,0)+IF(AND(3&gt;Paramètres!$B$9,Charges!H45&lt;&gt;"",Charges!H45&lt;&gt;0),1,0)+IF(AND(4&gt;Paramètres!$B$9,Charges!I45&lt;&gt;"",Charges!I45&lt;&gt;0),1,0)+IF(AND(5&gt;Paramètres!$B$9,Charges!J45&lt;&gt;"",Charges!J45&lt;&gt;0),1,0)+IF(AND(6&gt;Paramètres!$B$9,Charges!K45&lt;&gt;"",Charges!K45&lt;&gt;0),1,0)+IF(AND(7&gt;Paramètres!$B$9,Charges!L45&lt;&gt;"",Charges!L45&lt;&gt;0),1,0)+IF(AND(8&gt;Paramètres!$B$9,Charges!M45&lt;&gt;"",Charges!M45&lt;&gt;0),1,0)+IF(AND(9&gt;Paramètres!$B$9,Charges!N45&lt;&gt;"",Charges!N45&lt;&gt;0),1,0)+IF(AND(10&gt;Paramètres!$B$9,Charges!O45&lt;&gt;"",Charges!O45&lt;&gt;0),1,0)+IF(AND(11&gt;Paramètres!$B$9,Charges!P45&lt;&gt;"",Charges!P45&lt;&gt;0),1,0)+IF(AND(12&gt;Paramètres!$B$9,Charges!Q45&lt;&gt;"",Charges!Q45&lt;&gt;0),1,0)+IF(AND(13&gt;Paramètres!$B$9,Charges!R45&lt;&gt;"",Charges!R45&lt;&gt;0),1,0)</f>
        <v>0</v>
      </c>
      <c r="V45" t="n">
        <f>IF(IFERROR(VLOOKUP(A45,'Projets'!$A$8:$Z$67,5,FALSE),"")="Engager",1,0)</f>
        <v>0</v>
      </c>
      <c r="W45" t="n">
        <f>IF(IFERROR(VLOOKUP(A45,'Projets'!$A$8:$Z$67,6,FALSE),"")="Engager",1,0)</f>
        <v>0</v>
      </c>
      <c r="X45" t="n">
        <f>E45*S45</f>
        <v>0</v>
      </c>
      <c r="Y45" t="n">
        <f>F45*S45</f>
        <v>0</v>
      </c>
      <c r="Z45" t="n">
        <f>G45*S45</f>
        <v>0</v>
      </c>
      <c r="AA45" t="n">
        <f>H45*S45</f>
        <v>0</v>
      </c>
      <c r="AB45" t="n">
        <f>I45*S45</f>
        <v>0</v>
      </c>
      <c r="AC45" t="n">
        <f>J45*S45</f>
        <v>0</v>
      </c>
      <c r="AD45" t="n">
        <f>K45*S45</f>
        <v>0</v>
      </c>
      <c r="AE45" t="n">
        <f>L45*S45</f>
        <v>0</v>
      </c>
      <c r="AF45" t="n">
        <f>M45*S45</f>
        <v>0</v>
      </c>
      <c r="AG45" t="n">
        <f>N45*S45</f>
        <v>0</v>
      </c>
      <c r="AH45" t="n">
        <f>O45*S45</f>
        <v>0</v>
      </c>
      <c r="AI45" t="n">
        <f>P45*S45</f>
        <v>0</v>
      </c>
      <c r="AJ45" t="n">
        <f>Q45*S45</f>
        <v>0</v>
      </c>
      <c r="AK45" t="n">
        <f>E45*V45</f>
        <v>0</v>
      </c>
      <c r="AL45" t="n">
        <f>F45*V45</f>
        <v>0</v>
      </c>
      <c r="AM45" t="n">
        <f>G45*V45</f>
        <v>0</v>
      </c>
      <c r="AN45" t="n">
        <f>H45*V45</f>
        <v>0</v>
      </c>
      <c r="AO45" t="n">
        <f>I45*V45</f>
        <v>0</v>
      </c>
      <c r="AP45" t="n">
        <f>J45*V45</f>
        <v>0</v>
      </c>
      <c r="AQ45" t="n">
        <f>K45*V45</f>
        <v>0</v>
      </c>
      <c r="AR45" t="n">
        <f>L45*V45</f>
        <v>0</v>
      </c>
      <c r="AS45" t="n">
        <f>M45*V45</f>
        <v>0</v>
      </c>
      <c r="AT45" t="n">
        <f>N45*V45</f>
        <v>0</v>
      </c>
      <c r="AU45" t="n">
        <f>O45*V45</f>
        <v>0</v>
      </c>
      <c r="AV45" t="n">
        <f>P45*V45</f>
        <v>0</v>
      </c>
      <c r="AW45" t="n">
        <f>Q45*V45</f>
        <v>0</v>
      </c>
      <c r="AX45" t="n">
        <f>E45*W45</f>
        <v>0</v>
      </c>
      <c r="AY45" t="n">
        <f>F45*W45</f>
        <v>0</v>
      </c>
      <c r="AZ45" t="n">
        <f>G45*W45</f>
        <v>0</v>
      </c>
      <c r="BA45" t="n">
        <f>H45*W45</f>
        <v>0</v>
      </c>
      <c r="BB45" t="n">
        <f>I45*W45</f>
        <v>0</v>
      </c>
      <c r="BC45" t="n">
        <f>J45*W45</f>
        <v>0</v>
      </c>
      <c r="BD45" t="n">
        <f>K45*W45</f>
        <v>0</v>
      </c>
      <c r="BE45" t="n">
        <f>L45*W45</f>
        <v>0</v>
      </c>
      <c r="BF45" t="n">
        <f>M45*W45</f>
        <v>0</v>
      </c>
      <c r="BG45" t="n">
        <f>N45*W45</f>
        <v>0</v>
      </c>
      <c r="BH45" t="n">
        <f>O45*W45</f>
        <v>0</v>
      </c>
      <c r="BI45" t="n">
        <f>P45*W45</f>
        <v>0</v>
      </c>
      <c r="BJ45" t="n">
        <f>Q45*W45</f>
        <v>0</v>
      </c>
      <c r="BM45" t="n">
        <f>IF(OR(Personnes!$A45="",1&gt;Paramètres!$B$9),0,MAX(0,SUMIF($B$8:$B$247,Personnes!$A45,$E$8:$E$247)-'Planning par personne'!C45))</f>
        <v>0</v>
      </c>
      <c r="BN45" t="n">
        <f>IF(OR(Personnes!$A45="",2&gt;Paramètres!$B$9),0,MAX(0,SUMIF($B$8:$B$247,Personnes!$A45,$F$8:$F$247)-'Planning par personne'!D45))</f>
        <v>0</v>
      </c>
      <c r="BO45" t="n">
        <f>IF(OR(Personnes!$A45="",3&gt;Paramètres!$B$9),0,MAX(0,SUMIF($B$8:$B$247,Personnes!$A45,$G$8:$G$247)-'Planning par personne'!E45))</f>
        <v>0</v>
      </c>
      <c r="BP45" t="n">
        <f>IF(OR(Personnes!$A45="",4&gt;Paramètres!$B$9),0,MAX(0,SUMIF($B$8:$B$247,Personnes!$A45,$H$8:$H$247)-'Planning par personne'!F45))</f>
        <v>0</v>
      </c>
      <c r="BQ45" t="n">
        <f>IF(OR(Personnes!$A45="",5&gt;Paramètres!$B$9),0,MAX(0,SUMIF($B$8:$B$247,Personnes!$A45,$I$8:$I$247)-'Planning par personne'!G45))</f>
        <v>0</v>
      </c>
      <c r="BR45" t="n">
        <f>IF(OR(Personnes!$A45="",6&gt;Paramètres!$B$9),0,MAX(0,SUMIF($B$8:$B$247,Personnes!$A45,$J$8:$J$247)-'Planning par personne'!H45))</f>
        <v>0</v>
      </c>
      <c r="BS45" t="n">
        <f>IF(OR(Personnes!$A45="",7&gt;Paramètres!$B$9),0,MAX(0,SUMIF($B$8:$B$247,Personnes!$A45,$K$8:$K$247)-'Planning par personne'!I45))</f>
        <v>0</v>
      </c>
      <c r="BT45" t="n">
        <f>IF(OR(Personnes!$A45="",8&gt;Paramètres!$B$9),0,MAX(0,SUMIF($B$8:$B$247,Personnes!$A45,$L$8:$L$247)-'Planning par personne'!J45))</f>
        <v>0</v>
      </c>
      <c r="BU45" t="n">
        <f>IF(OR(Personnes!$A45="",9&gt;Paramètres!$B$9),0,MAX(0,SUMIF($B$8:$B$247,Personnes!$A45,$M$8:$M$247)-'Planning par personne'!K45))</f>
        <v>0</v>
      </c>
      <c r="BV45" t="n">
        <f>IF(OR(Personnes!$A45="",10&gt;Paramètres!$B$9),0,MAX(0,SUMIF($B$8:$B$247,Personnes!$A45,$N$8:$N$247)-'Planning par personne'!L45))</f>
        <v>0</v>
      </c>
      <c r="BW45" t="n">
        <f>IF(OR(Personnes!$A45="",11&gt;Paramètres!$B$9),0,MAX(0,SUMIF($B$8:$B$247,Personnes!$A45,$O$8:$O$247)-'Planning par personne'!M45))</f>
        <v>0</v>
      </c>
      <c r="BX45" t="n">
        <f>IF(OR(Personnes!$A45="",12&gt;Paramètres!$B$9),0,MAX(0,SUMIF($B$8:$B$247,Personnes!$A45,$P$8:$P$247)-'Planning par personne'!N45))</f>
        <v>0</v>
      </c>
      <c r="BY45" t="n">
        <f>IF(OR(Personnes!$A45="",13&gt;Paramètres!$B$9),0,MAX(0,SUMIF($B$8:$B$247,Personnes!$A45,$Q$8:$Q$247)-'Planning par personne'!O45))</f>
        <v>0</v>
      </c>
      <c r="BZ45" t="n">
        <f>IF(OR(Personnes!$A45="",1&gt;Paramètres!$B$9),0,MAX(0,SUMIF($B$8:$B$247,Personnes!$A45,$AK$8:$AK$247)-'Planning par personne'!C45))</f>
        <v>0</v>
      </c>
      <c r="CA45" t="n">
        <f>IF(OR(Personnes!$A45="",2&gt;Paramètres!$B$9),0,MAX(0,SUMIF($B$8:$B$247,Personnes!$A45,$AL$8:$AL$247)-'Planning par personne'!D45))</f>
        <v>0</v>
      </c>
      <c r="CB45" t="n">
        <f>IF(OR(Personnes!$A45="",3&gt;Paramètres!$B$9),0,MAX(0,SUMIF($B$8:$B$247,Personnes!$A45,$AM$8:$AM$247)-'Planning par personne'!E45))</f>
        <v>0</v>
      </c>
      <c r="CC45" t="n">
        <f>IF(OR(Personnes!$A45="",4&gt;Paramètres!$B$9),0,MAX(0,SUMIF($B$8:$B$247,Personnes!$A45,$AN$8:$AN$247)-'Planning par personne'!F45))</f>
        <v>0</v>
      </c>
      <c r="CD45" t="n">
        <f>IF(OR(Personnes!$A45="",5&gt;Paramètres!$B$9),0,MAX(0,SUMIF($B$8:$B$247,Personnes!$A45,$AO$8:$AO$247)-'Planning par personne'!G45))</f>
        <v>0</v>
      </c>
      <c r="CE45" t="n">
        <f>IF(OR(Personnes!$A45="",6&gt;Paramètres!$B$9),0,MAX(0,SUMIF($B$8:$B$247,Personnes!$A45,$AP$8:$AP$247)-'Planning par personne'!H45))</f>
        <v>0</v>
      </c>
      <c r="CF45" t="n">
        <f>IF(OR(Personnes!$A45="",7&gt;Paramètres!$B$9),0,MAX(0,SUMIF($B$8:$B$247,Personnes!$A45,$AQ$8:$AQ$247)-'Planning par personne'!I45))</f>
        <v>0</v>
      </c>
      <c r="CG45" t="n">
        <f>IF(OR(Personnes!$A45="",8&gt;Paramètres!$B$9),0,MAX(0,SUMIF($B$8:$B$247,Personnes!$A45,$AR$8:$AR$247)-'Planning par personne'!J45))</f>
        <v>0</v>
      </c>
      <c r="CH45" t="n">
        <f>IF(OR(Personnes!$A45="",9&gt;Paramètres!$B$9),0,MAX(0,SUMIF($B$8:$B$247,Personnes!$A45,$AS$8:$AS$247)-'Planning par personne'!K45))</f>
        <v>0</v>
      </c>
      <c r="CI45" t="n">
        <f>IF(OR(Personnes!$A45="",10&gt;Paramètres!$B$9),0,MAX(0,SUMIF($B$8:$B$247,Personnes!$A45,$AT$8:$AT$247)-'Planning par personne'!L45))</f>
        <v>0</v>
      </c>
      <c r="CJ45" t="n">
        <f>IF(OR(Personnes!$A45="",11&gt;Paramètres!$B$9),0,MAX(0,SUMIF($B$8:$B$247,Personnes!$A45,$AU$8:$AU$247)-'Planning par personne'!M45))</f>
        <v>0</v>
      </c>
      <c r="CK45" t="n">
        <f>IF(OR(Personnes!$A45="",12&gt;Paramètres!$B$9),0,MAX(0,SUMIF($B$8:$B$247,Personnes!$A45,$AV$8:$AV$247)-'Planning par personne'!N45))</f>
        <v>0</v>
      </c>
      <c r="CL45" t="n">
        <f>IF(OR(Personnes!$A45="",13&gt;Paramètres!$B$9),0,MAX(0,SUMIF($B$8:$B$247,Personnes!$A45,$AW$8:$AW$247)-'Planning par personne'!O45))</f>
        <v>0</v>
      </c>
      <c r="CM45" t="n">
        <f>IF(OR(Personnes!$A45="",1&gt;Paramètres!$B$9),0,MAX(0,SUMIF($B$8:$B$247,Personnes!$A45,$AX$8:$AX$247)-'Planning par personne'!C45))</f>
        <v>0</v>
      </c>
      <c r="CN45" t="n">
        <f>IF(OR(Personnes!$A45="",2&gt;Paramètres!$B$9),0,MAX(0,SUMIF($B$8:$B$247,Personnes!$A45,$AY$8:$AY$247)-'Planning par personne'!D45))</f>
        <v>0</v>
      </c>
      <c r="CO45" t="n">
        <f>IF(OR(Personnes!$A45="",3&gt;Paramètres!$B$9),0,MAX(0,SUMIF($B$8:$B$247,Personnes!$A45,$AZ$8:$AZ$247)-'Planning par personne'!E45))</f>
        <v>0</v>
      </c>
      <c r="CP45" t="n">
        <f>IF(OR(Personnes!$A45="",4&gt;Paramètres!$B$9),0,MAX(0,SUMIF($B$8:$B$247,Personnes!$A45,$BA$8:$BA$247)-'Planning par personne'!F45))</f>
        <v>0</v>
      </c>
      <c r="CQ45" t="n">
        <f>IF(OR(Personnes!$A45="",5&gt;Paramètres!$B$9),0,MAX(0,SUMIF($B$8:$B$247,Personnes!$A45,$BB$8:$BB$247)-'Planning par personne'!G45))</f>
        <v>0</v>
      </c>
      <c r="CR45" t="n">
        <f>IF(OR(Personnes!$A45="",6&gt;Paramètres!$B$9),0,MAX(0,SUMIF($B$8:$B$247,Personnes!$A45,$BC$8:$BC$247)-'Planning par personne'!H45))</f>
        <v>0</v>
      </c>
      <c r="CS45" t="n">
        <f>IF(OR(Personnes!$A45="",7&gt;Paramètres!$B$9),0,MAX(0,SUMIF($B$8:$B$247,Personnes!$A45,$BD$8:$BD$247)-'Planning par personne'!I45))</f>
        <v>0</v>
      </c>
      <c r="CT45" t="n">
        <f>IF(OR(Personnes!$A45="",8&gt;Paramètres!$B$9),0,MAX(0,SUMIF($B$8:$B$247,Personnes!$A45,$BE$8:$BE$247)-'Planning par personne'!J45))</f>
        <v>0</v>
      </c>
      <c r="CU45" t="n">
        <f>IF(OR(Personnes!$A45="",9&gt;Paramètres!$B$9),0,MAX(0,SUMIF($B$8:$B$247,Personnes!$A45,$BF$8:$BF$247)-'Planning par personne'!K45))</f>
        <v>0</v>
      </c>
      <c r="CV45" t="n">
        <f>IF(OR(Personnes!$A45="",10&gt;Paramètres!$B$9),0,MAX(0,SUMIF($B$8:$B$247,Personnes!$A45,$BG$8:$BG$247)-'Planning par personne'!L45))</f>
        <v>0</v>
      </c>
      <c r="CW45" t="n">
        <f>IF(OR(Personnes!$A45="",11&gt;Paramètres!$B$9),0,MAX(0,SUMIF($B$8:$B$247,Personnes!$A45,$BH$8:$BH$247)-'Planning par personne'!M45))</f>
        <v>0</v>
      </c>
      <c r="CX45" t="n">
        <f>IF(OR(Personnes!$A45="",12&gt;Paramètres!$B$9),0,MAX(0,SUMIF($B$8:$B$247,Personnes!$A45,$BI$8:$BI$247)-'Planning par personne'!N45))</f>
        <v>0</v>
      </c>
      <c r="CY45" t="n">
        <f>IF(OR(Personnes!$A45="",13&gt;Paramètres!$B$9),0,MAX(0,SUMIF($B$8:$B$247,Personnes!$A45,$BJ$8:$BJ$247)-'Planning par personne'!O45))</f>
        <v>0</v>
      </c>
      <c r="DJ45" t="n">
        <f>SUM(BM45:BY45)</f>
        <v>0</v>
      </c>
      <c r="DK45" t="n">
        <f>SUM(BZ45:CL45)</f>
        <v>0</v>
      </c>
      <c r="DL45" t="n">
        <f>SUM(CM45:CY45)</f>
        <v>0</v>
      </c>
      <c r="DM45" t="str">
        <f>IF(AND(Projets!A45&lt;&gt;"",Projets!G45="Engager"),DM44&amp;IF(DM44="","",", ")&amp;Projets!B45,DM44)</f>
        <v/>
      </c>
      <c r="DN45" t="str">
        <f>IF(AND(Projets!A45&lt;&gt;"",Projets!G45="Reporter"),DN44&amp;IF(DN44="","",", ")&amp;Projets!B45,DN44)</f>
        <v/>
      </c>
    </row>
    <row r="46">
      <c r="A46" t="n">
        <f>Charges!A46</f>
        <v>0</v>
      </c>
      <c r="B46" t="n">
        <f>Charges!C46</f>
        <v>0</v>
      </c>
      <c r="C46" t="str">
        <f>Charges!D46</f>
        <v/>
      </c>
      <c r="E46" t="n">
        <f>IF(1&lt;=Paramètres!$B$9,MAX(0,IFERROR(N(IF(ISNUMBER(Charges!F46),MAX(0,Charges!F46),IFERROR(VLOOKUP(Charges!F46,Paramètres!$A$15:$B$18,2,FALSE),0))),0)),0)</f>
        <v>0</v>
      </c>
      <c r="F46" t="n">
        <f>IF(2&lt;=Paramètres!$B$9,MAX(0,IFERROR(N(IF(ISNUMBER(Charges!G46),MAX(0,Charges!G46),IFERROR(VLOOKUP(Charges!G46,Paramètres!$A$15:$B$18,2,FALSE),0))),0)),0)</f>
        <v>0</v>
      </c>
      <c r="G46" t="n">
        <f>IF(3&lt;=Paramètres!$B$9,MAX(0,IFERROR(N(IF(ISNUMBER(Charges!H46),MAX(0,Charges!H46),IFERROR(VLOOKUP(Charges!H46,Paramètres!$A$15:$B$18,2,FALSE),0))),0)),0)</f>
        <v>0</v>
      </c>
      <c r="H46" t="n">
        <f>IF(4&lt;=Paramètres!$B$9,MAX(0,IFERROR(N(IF(ISNUMBER(Charges!I46),MAX(0,Charges!I46),IFERROR(VLOOKUP(Charges!I46,Paramètres!$A$15:$B$18,2,FALSE),0))),0)),0)</f>
        <v>0</v>
      </c>
      <c r="I46" t="n">
        <f>IF(5&lt;=Paramètres!$B$9,MAX(0,IFERROR(N(IF(ISNUMBER(Charges!J46),MAX(0,Charges!J46),IFERROR(VLOOKUP(Charges!J46,Paramètres!$A$15:$B$18,2,FALSE),0))),0)),0)</f>
        <v>0</v>
      </c>
      <c r="J46" t="n">
        <f>IF(6&lt;=Paramètres!$B$9,MAX(0,IFERROR(N(IF(ISNUMBER(Charges!K46),MAX(0,Charges!K46),IFERROR(VLOOKUP(Charges!K46,Paramètres!$A$15:$B$18,2,FALSE),0))),0)),0)</f>
        <v>0</v>
      </c>
      <c r="K46" t="n">
        <f>IF(7&lt;=Paramètres!$B$9,MAX(0,IFERROR(N(IF(ISNUMBER(Charges!L46),MAX(0,Charges!L46),IFERROR(VLOOKUP(Charges!L46,Paramètres!$A$15:$B$18,2,FALSE),0))),0)),0)</f>
        <v>0</v>
      </c>
      <c r="L46" t="n">
        <f>IF(8&lt;=Paramètres!$B$9,MAX(0,IFERROR(N(IF(ISNUMBER(Charges!M46),MAX(0,Charges!M46),IFERROR(VLOOKUP(Charges!M46,Paramètres!$A$15:$B$18,2,FALSE),0))),0)),0)</f>
        <v>0</v>
      </c>
      <c r="M46" t="n">
        <f>IF(9&lt;=Paramètres!$B$9,MAX(0,IFERROR(N(IF(ISNUMBER(Charges!N46),MAX(0,Charges!N46),IFERROR(VLOOKUP(Charges!N46,Paramètres!$A$15:$B$18,2,FALSE),0))),0)),0)</f>
        <v>0</v>
      </c>
      <c r="N46" t="n">
        <f>IF(10&lt;=Paramètres!$B$9,MAX(0,IFERROR(N(IF(ISNUMBER(Charges!O46),MAX(0,Charges!O46),IFERROR(VLOOKUP(Charges!O46,Paramètres!$A$15:$B$18,2,FALSE),0))),0)),0)</f>
        <v>0</v>
      </c>
      <c r="O46" t="n">
        <f>IF(11&lt;=Paramètres!$B$9,MAX(0,IFERROR(N(IF(ISNUMBER(Charges!P46),MAX(0,Charges!P46),IFERROR(VLOOKUP(Charges!P46,Paramètres!$A$15:$B$18,2,FALSE),0))),0)),0)</f>
        <v>0</v>
      </c>
      <c r="P46" t="n">
        <f>IF(12&lt;=Paramètres!$B$9,MAX(0,IFERROR(N(IF(ISNUMBER(Charges!Q46),MAX(0,Charges!Q46),IFERROR(VLOOKUP(Charges!Q46,Paramètres!$A$15:$B$18,2,FALSE),0))),0)),0)</f>
        <v>0</v>
      </c>
      <c r="Q46" t="n">
        <f>IF(13&lt;=Paramètres!$B$9,MAX(0,IFERROR(N(IF(ISNUMBER(Charges!R46),MAX(0,Charges!R46),IFERROR(VLOOKUP(Charges!R46,Paramètres!$A$15:$B$18,2,FALSE),0))),0)),0)</f>
        <v>0</v>
      </c>
      <c r="R46" t="n">
        <f>SUM(E46:Q46)</f>
        <v>0</v>
      </c>
      <c r="S46" t="n">
        <f>IF(IFERROR(VLOOKUP(A46,'Projets'!$A$8:$Z$67,7,FALSE),"")="Engager",1,0)</f>
        <v>0</v>
      </c>
      <c r="T46" t="n">
        <f>IF(OR(Charges!F46="",AND(ISNUMBER(Charges!F46),Charges!F46&gt;=0),Charges!F46="S",Charges!F46="M",Charges!F46="L",Charges!F46="XL"),0,1)+IF(OR(Charges!G46="",AND(ISNUMBER(Charges!G46),Charges!G46&gt;=0),Charges!G46="S",Charges!G46="M",Charges!G46="L",Charges!G46="XL"),0,1)+IF(OR(Charges!H46="",AND(ISNUMBER(Charges!H46),Charges!H46&gt;=0),Charges!H46="S",Charges!H46="M",Charges!H46="L",Charges!H46="XL"),0,1)+IF(OR(Charges!I46="",AND(ISNUMBER(Charges!I46),Charges!I46&gt;=0),Charges!I46="S",Charges!I46="M",Charges!I46="L",Charges!I46="XL"),0,1)+IF(OR(Charges!J46="",AND(ISNUMBER(Charges!J46),Charges!J46&gt;=0),Charges!J46="S",Charges!J46="M",Charges!J46="L",Charges!J46="XL"),0,1)+IF(OR(Charges!K46="",AND(ISNUMBER(Charges!K46),Charges!K46&gt;=0),Charges!K46="S",Charges!K46="M",Charges!K46="L",Charges!K46="XL"),0,1)+IF(OR(Charges!L46="",AND(ISNUMBER(Charges!L46),Charges!L46&gt;=0),Charges!L46="S",Charges!L46="M",Charges!L46="L",Charges!L46="XL"),0,1)+IF(OR(Charges!M46="",AND(ISNUMBER(Charges!M46),Charges!M46&gt;=0),Charges!M46="S",Charges!M46="M",Charges!M46="L",Charges!M46="XL"),0,1)+IF(OR(Charges!N46="",AND(ISNUMBER(Charges!N46),Charges!N46&gt;=0),Charges!N46="S",Charges!N46="M",Charges!N46="L",Charges!N46="XL"),0,1)+IF(OR(Charges!O46="",AND(ISNUMBER(Charges!O46),Charges!O46&gt;=0),Charges!O46="S",Charges!O46="M",Charges!O46="L",Charges!O46="XL"),0,1)+IF(OR(Charges!P46="",AND(ISNUMBER(Charges!P46),Charges!P46&gt;=0),Charges!P46="S",Charges!P46="M",Charges!P46="L",Charges!P46="XL"),0,1)+IF(OR(Charges!Q46="",AND(ISNUMBER(Charges!Q46),Charges!Q46&gt;=0),Charges!Q46="S",Charges!Q46="M",Charges!Q46="L",Charges!Q46="XL"),0,1)+IF(OR(Charges!R46="",AND(ISNUMBER(Charges!R46),Charges!R46&gt;=0),Charges!R46="S",Charges!R46="M",Charges!R46="L",Charges!R46="XL"),0,1)</f>
        <v>0</v>
      </c>
      <c r="U46" t="n">
        <f>IF(AND(1&gt;Paramètres!$B$9,Charges!F46&lt;&gt;"",Charges!F46&lt;&gt;0),1,0)+IF(AND(2&gt;Paramètres!$B$9,Charges!G46&lt;&gt;"",Charges!G46&lt;&gt;0),1,0)+IF(AND(3&gt;Paramètres!$B$9,Charges!H46&lt;&gt;"",Charges!H46&lt;&gt;0),1,0)+IF(AND(4&gt;Paramètres!$B$9,Charges!I46&lt;&gt;"",Charges!I46&lt;&gt;0),1,0)+IF(AND(5&gt;Paramètres!$B$9,Charges!J46&lt;&gt;"",Charges!J46&lt;&gt;0),1,0)+IF(AND(6&gt;Paramètres!$B$9,Charges!K46&lt;&gt;"",Charges!K46&lt;&gt;0),1,0)+IF(AND(7&gt;Paramètres!$B$9,Charges!L46&lt;&gt;"",Charges!L46&lt;&gt;0),1,0)+IF(AND(8&gt;Paramètres!$B$9,Charges!M46&lt;&gt;"",Charges!M46&lt;&gt;0),1,0)+IF(AND(9&gt;Paramètres!$B$9,Charges!N46&lt;&gt;"",Charges!N46&lt;&gt;0),1,0)+IF(AND(10&gt;Paramètres!$B$9,Charges!O46&lt;&gt;"",Charges!O46&lt;&gt;0),1,0)+IF(AND(11&gt;Paramètres!$B$9,Charges!P46&lt;&gt;"",Charges!P46&lt;&gt;0),1,0)+IF(AND(12&gt;Paramètres!$B$9,Charges!Q46&lt;&gt;"",Charges!Q46&lt;&gt;0),1,0)+IF(AND(13&gt;Paramètres!$B$9,Charges!R46&lt;&gt;"",Charges!R46&lt;&gt;0),1,0)</f>
        <v>0</v>
      </c>
      <c r="V46" t="n">
        <f>IF(IFERROR(VLOOKUP(A46,'Projets'!$A$8:$Z$67,5,FALSE),"")="Engager",1,0)</f>
        <v>0</v>
      </c>
      <c r="W46" t="n">
        <f>IF(IFERROR(VLOOKUP(A46,'Projets'!$A$8:$Z$67,6,FALSE),"")="Engager",1,0)</f>
        <v>0</v>
      </c>
      <c r="X46" t="n">
        <f>E46*S46</f>
        <v>0</v>
      </c>
      <c r="Y46" t="n">
        <f>F46*S46</f>
        <v>0</v>
      </c>
      <c r="Z46" t="n">
        <f>G46*S46</f>
        <v>0</v>
      </c>
      <c r="AA46" t="n">
        <f>H46*S46</f>
        <v>0</v>
      </c>
      <c r="AB46" t="n">
        <f>I46*S46</f>
        <v>0</v>
      </c>
      <c r="AC46" t="n">
        <f>J46*S46</f>
        <v>0</v>
      </c>
      <c r="AD46" t="n">
        <f>K46*S46</f>
        <v>0</v>
      </c>
      <c r="AE46" t="n">
        <f>L46*S46</f>
        <v>0</v>
      </c>
      <c r="AF46" t="n">
        <f>M46*S46</f>
        <v>0</v>
      </c>
      <c r="AG46" t="n">
        <f>N46*S46</f>
        <v>0</v>
      </c>
      <c r="AH46" t="n">
        <f>O46*S46</f>
        <v>0</v>
      </c>
      <c r="AI46" t="n">
        <f>P46*S46</f>
        <v>0</v>
      </c>
      <c r="AJ46" t="n">
        <f>Q46*S46</f>
        <v>0</v>
      </c>
      <c r="AK46" t="n">
        <f>E46*V46</f>
        <v>0</v>
      </c>
      <c r="AL46" t="n">
        <f>F46*V46</f>
        <v>0</v>
      </c>
      <c r="AM46" t="n">
        <f>G46*V46</f>
        <v>0</v>
      </c>
      <c r="AN46" t="n">
        <f>H46*V46</f>
        <v>0</v>
      </c>
      <c r="AO46" t="n">
        <f>I46*V46</f>
        <v>0</v>
      </c>
      <c r="AP46" t="n">
        <f>J46*V46</f>
        <v>0</v>
      </c>
      <c r="AQ46" t="n">
        <f>K46*V46</f>
        <v>0</v>
      </c>
      <c r="AR46" t="n">
        <f>L46*V46</f>
        <v>0</v>
      </c>
      <c r="AS46" t="n">
        <f>M46*V46</f>
        <v>0</v>
      </c>
      <c r="AT46" t="n">
        <f>N46*V46</f>
        <v>0</v>
      </c>
      <c r="AU46" t="n">
        <f>O46*V46</f>
        <v>0</v>
      </c>
      <c r="AV46" t="n">
        <f>P46*V46</f>
        <v>0</v>
      </c>
      <c r="AW46" t="n">
        <f>Q46*V46</f>
        <v>0</v>
      </c>
      <c r="AX46" t="n">
        <f>E46*W46</f>
        <v>0</v>
      </c>
      <c r="AY46" t="n">
        <f>F46*W46</f>
        <v>0</v>
      </c>
      <c r="AZ46" t="n">
        <f>G46*W46</f>
        <v>0</v>
      </c>
      <c r="BA46" t="n">
        <f>H46*W46</f>
        <v>0</v>
      </c>
      <c r="BB46" t="n">
        <f>I46*W46</f>
        <v>0</v>
      </c>
      <c r="BC46" t="n">
        <f>J46*W46</f>
        <v>0</v>
      </c>
      <c r="BD46" t="n">
        <f>K46*W46</f>
        <v>0</v>
      </c>
      <c r="BE46" t="n">
        <f>L46*W46</f>
        <v>0</v>
      </c>
      <c r="BF46" t="n">
        <f>M46*W46</f>
        <v>0</v>
      </c>
      <c r="BG46" t="n">
        <f>N46*W46</f>
        <v>0</v>
      </c>
      <c r="BH46" t="n">
        <f>O46*W46</f>
        <v>0</v>
      </c>
      <c r="BI46" t="n">
        <f>P46*W46</f>
        <v>0</v>
      </c>
      <c r="BJ46" t="n">
        <f>Q46*W46</f>
        <v>0</v>
      </c>
      <c r="BM46" t="n">
        <f>IF(OR(Personnes!$A46="",1&gt;Paramètres!$B$9),0,MAX(0,SUMIF($B$8:$B$247,Personnes!$A46,$E$8:$E$247)-'Planning par personne'!C46))</f>
        <v>0</v>
      </c>
      <c r="BN46" t="n">
        <f>IF(OR(Personnes!$A46="",2&gt;Paramètres!$B$9),0,MAX(0,SUMIF($B$8:$B$247,Personnes!$A46,$F$8:$F$247)-'Planning par personne'!D46))</f>
        <v>0</v>
      </c>
      <c r="BO46" t="n">
        <f>IF(OR(Personnes!$A46="",3&gt;Paramètres!$B$9),0,MAX(0,SUMIF($B$8:$B$247,Personnes!$A46,$G$8:$G$247)-'Planning par personne'!E46))</f>
        <v>0</v>
      </c>
      <c r="BP46" t="n">
        <f>IF(OR(Personnes!$A46="",4&gt;Paramètres!$B$9),0,MAX(0,SUMIF($B$8:$B$247,Personnes!$A46,$H$8:$H$247)-'Planning par personne'!F46))</f>
        <v>0</v>
      </c>
      <c r="BQ46" t="n">
        <f>IF(OR(Personnes!$A46="",5&gt;Paramètres!$B$9),0,MAX(0,SUMIF($B$8:$B$247,Personnes!$A46,$I$8:$I$247)-'Planning par personne'!G46))</f>
        <v>0</v>
      </c>
      <c r="BR46" t="n">
        <f>IF(OR(Personnes!$A46="",6&gt;Paramètres!$B$9),0,MAX(0,SUMIF($B$8:$B$247,Personnes!$A46,$J$8:$J$247)-'Planning par personne'!H46))</f>
        <v>0</v>
      </c>
      <c r="BS46" t="n">
        <f>IF(OR(Personnes!$A46="",7&gt;Paramètres!$B$9),0,MAX(0,SUMIF($B$8:$B$247,Personnes!$A46,$K$8:$K$247)-'Planning par personne'!I46))</f>
        <v>0</v>
      </c>
      <c r="BT46" t="n">
        <f>IF(OR(Personnes!$A46="",8&gt;Paramètres!$B$9),0,MAX(0,SUMIF($B$8:$B$247,Personnes!$A46,$L$8:$L$247)-'Planning par personne'!J46))</f>
        <v>0</v>
      </c>
      <c r="BU46" t="n">
        <f>IF(OR(Personnes!$A46="",9&gt;Paramètres!$B$9),0,MAX(0,SUMIF($B$8:$B$247,Personnes!$A46,$M$8:$M$247)-'Planning par personne'!K46))</f>
        <v>0</v>
      </c>
      <c r="BV46" t="n">
        <f>IF(OR(Personnes!$A46="",10&gt;Paramètres!$B$9),0,MAX(0,SUMIF($B$8:$B$247,Personnes!$A46,$N$8:$N$247)-'Planning par personne'!L46))</f>
        <v>0</v>
      </c>
      <c r="BW46" t="n">
        <f>IF(OR(Personnes!$A46="",11&gt;Paramètres!$B$9),0,MAX(0,SUMIF($B$8:$B$247,Personnes!$A46,$O$8:$O$247)-'Planning par personne'!M46))</f>
        <v>0</v>
      </c>
      <c r="BX46" t="n">
        <f>IF(OR(Personnes!$A46="",12&gt;Paramètres!$B$9),0,MAX(0,SUMIF($B$8:$B$247,Personnes!$A46,$P$8:$P$247)-'Planning par personne'!N46))</f>
        <v>0</v>
      </c>
      <c r="BY46" t="n">
        <f>IF(OR(Personnes!$A46="",13&gt;Paramètres!$B$9),0,MAX(0,SUMIF($B$8:$B$247,Personnes!$A46,$Q$8:$Q$247)-'Planning par personne'!O46))</f>
        <v>0</v>
      </c>
      <c r="BZ46" t="n">
        <f>IF(OR(Personnes!$A46="",1&gt;Paramètres!$B$9),0,MAX(0,SUMIF($B$8:$B$247,Personnes!$A46,$AK$8:$AK$247)-'Planning par personne'!C46))</f>
        <v>0</v>
      </c>
      <c r="CA46" t="n">
        <f>IF(OR(Personnes!$A46="",2&gt;Paramètres!$B$9),0,MAX(0,SUMIF($B$8:$B$247,Personnes!$A46,$AL$8:$AL$247)-'Planning par personne'!D46))</f>
        <v>0</v>
      </c>
      <c r="CB46" t="n">
        <f>IF(OR(Personnes!$A46="",3&gt;Paramètres!$B$9),0,MAX(0,SUMIF($B$8:$B$247,Personnes!$A46,$AM$8:$AM$247)-'Planning par personne'!E46))</f>
        <v>0</v>
      </c>
      <c r="CC46" t="n">
        <f>IF(OR(Personnes!$A46="",4&gt;Paramètres!$B$9),0,MAX(0,SUMIF($B$8:$B$247,Personnes!$A46,$AN$8:$AN$247)-'Planning par personne'!F46))</f>
        <v>0</v>
      </c>
      <c r="CD46" t="n">
        <f>IF(OR(Personnes!$A46="",5&gt;Paramètres!$B$9),0,MAX(0,SUMIF($B$8:$B$247,Personnes!$A46,$AO$8:$AO$247)-'Planning par personne'!G46))</f>
        <v>0</v>
      </c>
      <c r="CE46" t="n">
        <f>IF(OR(Personnes!$A46="",6&gt;Paramètres!$B$9),0,MAX(0,SUMIF($B$8:$B$247,Personnes!$A46,$AP$8:$AP$247)-'Planning par personne'!H46))</f>
        <v>0</v>
      </c>
      <c r="CF46" t="n">
        <f>IF(OR(Personnes!$A46="",7&gt;Paramètres!$B$9),0,MAX(0,SUMIF($B$8:$B$247,Personnes!$A46,$AQ$8:$AQ$247)-'Planning par personne'!I46))</f>
        <v>0</v>
      </c>
      <c r="CG46" t="n">
        <f>IF(OR(Personnes!$A46="",8&gt;Paramètres!$B$9),0,MAX(0,SUMIF($B$8:$B$247,Personnes!$A46,$AR$8:$AR$247)-'Planning par personne'!J46))</f>
        <v>0</v>
      </c>
      <c r="CH46" t="n">
        <f>IF(OR(Personnes!$A46="",9&gt;Paramètres!$B$9),0,MAX(0,SUMIF($B$8:$B$247,Personnes!$A46,$AS$8:$AS$247)-'Planning par personne'!K46))</f>
        <v>0</v>
      </c>
      <c r="CI46" t="n">
        <f>IF(OR(Personnes!$A46="",10&gt;Paramètres!$B$9),0,MAX(0,SUMIF($B$8:$B$247,Personnes!$A46,$AT$8:$AT$247)-'Planning par personne'!L46))</f>
        <v>0</v>
      </c>
      <c r="CJ46" t="n">
        <f>IF(OR(Personnes!$A46="",11&gt;Paramètres!$B$9),0,MAX(0,SUMIF($B$8:$B$247,Personnes!$A46,$AU$8:$AU$247)-'Planning par personne'!M46))</f>
        <v>0</v>
      </c>
      <c r="CK46" t="n">
        <f>IF(OR(Personnes!$A46="",12&gt;Paramètres!$B$9),0,MAX(0,SUMIF($B$8:$B$247,Personnes!$A46,$AV$8:$AV$247)-'Planning par personne'!N46))</f>
        <v>0</v>
      </c>
      <c r="CL46" t="n">
        <f>IF(OR(Personnes!$A46="",13&gt;Paramètres!$B$9),0,MAX(0,SUMIF($B$8:$B$247,Personnes!$A46,$AW$8:$AW$247)-'Planning par personne'!O46))</f>
        <v>0</v>
      </c>
      <c r="CM46" t="n">
        <f>IF(OR(Personnes!$A46="",1&gt;Paramètres!$B$9),0,MAX(0,SUMIF($B$8:$B$247,Personnes!$A46,$AX$8:$AX$247)-'Planning par personne'!C46))</f>
        <v>0</v>
      </c>
      <c r="CN46" t="n">
        <f>IF(OR(Personnes!$A46="",2&gt;Paramètres!$B$9),0,MAX(0,SUMIF($B$8:$B$247,Personnes!$A46,$AY$8:$AY$247)-'Planning par personne'!D46))</f>
        <v>0</v>
      </c>
      <c r="CO46" t="n">
        <f>IF(OR(Personnes!$A46="",3&gt;Paramètres!$B$9),0,MAX(0,SUMIF($B$8:$B$247,Personnes!$A46,$AZ$8:$AZ$247)-'Planning par personne'!E46))</f>
        <v>0</v>
      </c>
      <c r="CP46" t="n">
        <f>IF(OR(Personnes!$A46="",4&gt;Paramètres!$B$9),0,MAX(0,SUMIF($B$8:$B$247,Personnes!$A46,$BA$8:$BA$247)-'Planning par personne'!F46))</f>
        <v>0</v>
      </c>
      <c r="CQ46" t="n">
        <f>IF(OR(Personnes!$A46="",5&gt;Paramètres!$B$9),0,MAX(0,SUMIF($B$8:$B$247,Personnes!$A46,$BB$8:$BB$247)-'Planning par personne'!G46))</f>
        <v>0</v>
      </c>
      <c r="CR46" t="n">
        <f>IF(OR(Personnes!$A46="",6&gt;Paramètres!$B$9),0,MAX(0,SUMIF($B$8:$B$247,Personnes!$A46,$BC$8:$BC$247)-'Planning par personne'!H46))</f>
        <v>0</v>
      </c>
      <c r="CS46" t="n">
        <f>IF(OR(Personnes!$A46="",7&gt;Paramètres!$B$9),0,MAX(0,SUMIF($B$8:$B$247,Personnes!$A46,$BD$8:$BD$247)-'Planning par personne'!I46))</f>
        <v>0</v>
      </c>
      <c r="CT46" t="n">
        <f>IF(OR(Personnes!$A46="",8&gt;Paramètres!$B$9),0,MAX(0,SUMIF($B$8:$B$247,Personnes!$A46,$BE$8:$BE$247)-'Planning par personne'!J46))</f>
        <v>0</v>
      </c>
      <c r="CU46" t="n">
        <f>IF(OR(Personnes!$A46="",9&gt;Paramètres!$B$9),0,MAX(0,SUMIF($B$8:$B$247,Personnes!$A46,$BF$8:$BF$247)-'Planning par personne'!K46))</f>
        <v>0</v>
      </c>
      <c r="CV46" t="n">
        <f>IF(OR(Personnes!$A46="",10&gt;Paramètres!$B$9),0,MAX(0,SUMIF($B$8:$B$247,Personnes!$A46,$BG$8:$BG$247)-'Planning par personne'!L46))</f>
        <v>0</v>
      </c>
      <c r="CW46" t="n">
        <f>IF(OR(Personnes!$A46="",11&gt;Paramètres!$B$9),0,MAX(0,SUMIF($B$8:$B$247,Personnes!$A46,$BH$8:$BH$247)-'Planning par personne'!M46))</f>
        <v>0</v>
      </c>
      <c r="CX46" t="n">
        <f>IF(OR(Personnes!$A46="",12&gt;Paramètres!$B$9),0,MAX(0,SUMIF($B$8:$B$247,Personnes!$A46,$BI$8:$BI$247)-'Planning par personne'!N46))</f>
        <v>0</v>
      </c>
      <c r="CY46" t="n">
        <f>IF(OR(Personnes!$A46="",13&gt;Paramètres!$B$9),0,MAX(0,SUMIF($B$8:$B$247,Personnes!$A46,$BJ$8:$BJ$247)-'Planning par personne'!O46))</f>
        <v>0</v>
      </c>
      <c r="DJ46" t="n">
        <f>SUM(BM46:BY46)</f>
        <v>0</v>
      </c>
      <c r="DK46" t="n">
        <f>SUM(BZ46:CL46)</f>
        <v>0</v>
      </c>
      <c r="DL46" t="n">
        <f>SUM(CM46:CY46)</f>
        <v>0</v>
      </c>
      <c r="DM46" t="str">
        <f>IF(AND(Projets!A46&lt;&gt;"",Projets!G46="Engager"),DM45&amp;IF(DM45="","",", ")&amp;Projets!B46,DM45)</f>
        <v/>
      </c>
      <c r="DN46" t="str">
        <f>IF(AND(Projets!A46&lt;&gt;"",Projets!G46="Reporter"),DN45&amp;IF(DN45="","",", ")&amp;Projets!B46,DN45)</f>
        <v/>
      </c>
    </row>
    <row r="47">
      <c r="A47" t="n">
        <f>Charges!A47</f>
        <v>0</v>
      </c>
      <c r="B47" t="n">
        <f>Charges!C47</f>
        <v>0</v>
      </c>
      <c r="C47" t="str">
        <f>Charges!D47</f>
        <v/>
      </c>
      <c r="E47" t="n">
        <f>IF(1&lt;=Paramètres!$B$9,MAX(0,IFERROR(N(IF(ISNUMBER(Charges!F47),MAX(0,Charges!F47),IFERROR(VLOOKUP(Charges!F47,Paramètres!$A$15:$B$18,2,FALSE),0))),0)),0)</f>
        <v>0</v>
      </c>
      <c r="F47" t="n">
        <f>IF(2&lt;=Paramètres!$B$9,MAX(0,IFERROR(N(IF(ISNUMBER(Charges!G47),MAX(0,Charges!G47),IFERROR(VLOOKUP(Charges!G47,Paramètres!$A$15:$B$18,2,FALSE),0))),0)),0)</f>
        <v>0</v>
      </c>
      <c r="G47" t="n">
        <f>IF(3&lt;=Paramètres!$B$9,MAX(0,IFERROR(N(IF(ISNUMBER(Charges!H47),MAX(0,Charges!H47),IFERROR(VLOOKUP(Charges!H47,Paramètres!$A$15:$B$18,2,FALSE),0))),0)),0)</f>
        <v>0</v>
      </c>
      <c r="H47" t="n">
        <f>IF(4&lt;=Paramètres!$B$9,MAX(0,IFERROR(N(IF(ISNUMBER(Charges!I47),MAX(0,Charges!I47),IFERROR(VLOOKUP(Charges!I47,Paramètres!$A$15:$B$18,2,FALSE),0))),0)),0)</f>
        <v>0</v>
      </c>
      <c r="I47" t="n">
        <f>IF(5&lt;=Paramètres!$B$9,MAX(0,IFERROR(N(IF(ISNUMBER(Charges!J47),MAX(0,Charges!J47),IFERROR(VLOOKUP(Charges!J47,Paramètres!$A$15:$B$18,2,FALSE),0))),0)),0)</f>
        <v>0</v>
      </c>
      <c r="J47" t="n">
        <f>IF(6&lt;=Paramètres!$B$9,MAX(0,IFERROR(N(IF(ISNUMBER(Charges!K47),MAX(0,Charges!K47),IFERROR(VLOOKUP(Charges!K47,Paramètres!$A$15:$B$18,2,FALSE),0))),0)),0)</f>
        <v>0</v>
      </c>
      <c r="K47" t="n">
        <f>IF(7&lt;=Paramètres!$B$9,MAX(0,IFERROR(N(IF(ISNUMBER(Charges!L47),MAX(0,Charges!L47),IFERROR(VLOOKUP(Charges!L47,Paramètres!$A$15:$B$18,2,FALSE),0))),0)),0)</f>
        <v>0</v>
      </c>
      <c r="L47" t="n">
        <f>IF(8&lt;=Paramètres!$B$9,MAX(0,IFERROR(N(IF(ISNUMBER(Charges!M47),MAX(0,Charges!M47),IFERROR(VLOOKUP(Charges!M47,Paramètres!$A$15:$B$18,2,FALSE),0))),0)),0)</f>
        <v>0</v>
      </c>
      <c r="M47" t="n">
        <f>IF(9&lt;=Paramètres!$B$9,MAX(0,IFERROR(N(IF(ISNUMBER(Charges!N47),MAX(0,Charges!N47),IFERROR(VLOOKUP(Charges!N47,Paramètres!$A$15:$B$18,2,FALSE),0))),0)),0)</f>
        <v>0</v>
      </c>
      <c r="N47" t="n">
        <f>IF(10&lt;=Paramètres!$B$9,MAX(0,IFERROR(N(IF(ISNUMBER(Charges!O47),MAX(0,Charges!O47),IFERROR(VLOOKUP(Charges!O47,Paramètres!$A$15:$B$18,2,FALSE),0))),0)),0)</f>
        <v>0</v>
      </c>
      <c r="O47" t="n">
        <f>IF(11&lt;=Paramètres!$B$9,MAX(0,IFERROR(N(IF(ISNUMBER(Charges!P47),MAX(0,Charges!P47),IFERROR(VLOOKUP(Charges!P47,Paramètres!$A$15:$B$18,2,FALSE),0))),0)),0)</f>
        <v>0</v>
      </c>
      <c r="P47" t="n">
        <f>IF(12&lt;=Paramètres!$B$9,MAX(0,IFERROR(N(IF(ISNUMBER(Charges!Q47),MAX(0,Charges!Q47),IFERROR(VLOOKUP(Charges!Q47,Paramètres!$A$15:$B$18,2,FALSE),0))),0)),0)</f>
        <v>0</v>
      </c>
      <c r="Q47" t="n">
        <f>IF(13&lt;=Paramètres!$B$9,MAX(0,IFERROR(N(IF(ISNUMBER(Charges!R47),MAX(0,Charges!R47),IFERROR(VLOOKUP(Charges!R47,Paramètres!$A$15:$B$18,2,FALSE),0))),0)),0)</f>
        <v>0</v>
      </c>
      <c r="R47" t="n">
        <f>SUM(E47:Q47)</f>
        <v>0</v>
      </c>
      <c r="S47" t="n">
        <f>IF(IFERROR(VLOOKUP(A47,'Projets'!$A$8:$Z$67,7,FALSE),"")="Engager",1,0)</f>
        <v>0</v>
      </c>
      <c r="T47" t="n">
        <f>IF(OR(Charges!F47="",AND(ISNUMBER(Charges!F47),Charges!F47&gt;=0),Charges!F47="S",Charges!F47="M",Charges!F47="L",Charges!F47="XL"),0,1)+IF(OR(Charges!G47="",AND(ISNUMBER(Charges!G47),Charges!G47&gt;=0),Charges!G47="S",Charges!G47="M",Charges!G47="L",Charges!G47="XL"),0,1)+IF(OR(Charges!H47="",AND(ISNUMBER(Charges!H47),Charges!H47&gt;=0),Charges!H47="S",Charges!H47="M",Charges!H47="L",Charges!H47="XL"),0,1)+IF(OR(Charges!I47="",AND(ISNUMBER(Charges!I47),Charges!I47&gt;=0),Charges!I47="S",Charges!I47="M",Charges!I47="L",Charges!I47="XL"),0,1)+IF(OR(Charges!J47="",AND(ISNUMBER(Charges!J47),Charges!J47&gt;=0),Charges!J47="S",Charges!J47="M",Charges!J47="L",Charges!J47="XL"),0,1)+IF(OR(Charges!K47="",AND(ISNUMBER(Charges!K47),Charges!K47&gt;=0),Charges!K47="S",Charges!K47="M",Charges!K47="L",Charges!K47="XL"),0,1)+IF(OR(Charges!L47="",AND(ISNUMBER(Charges!L47),Charges!L47&gt;=0),Charges!L47="S",Charges!L47="M",Charges!L47="L",Charges!L47="XL"),0,1)+IF(OR(Charges!M47="",AND(ISNUMBER(Charges!M47),Charges!M47&gt;=0),Charges!M47="S",Charges!M47="M",Charges!M47="L",Charges!M47="XL"),0,1)+IF(OR(Charges!N47="",AND(ISNUMBER(Charges!N47),Charges!N47&gt;=0),Charges!N47="S",Charges!N47="M",Charges!N47="L",Charges!N47="XL"),0,1)+IF(OR(Charges!O47="",AND(ISNUMBER(Charges!O47),Charges!O47&gt;=0),Charges!O47="S",Charges!O47="M",Charges!O47="L",Charges!O47="XL"),0,1)+IF(OR(Charges!P47="",AND(ISNUMBER(Charges!P47),Charges!P47&gt;=0),Charges!P47="S",Charges!P47="M",Charges!P47="L",Charges!P47="XL"),0,1)+IF(OR(Charges!Q47="",AND(ISNUMBER(Charges!Q47),Charges!Q47&gt;=0),Charges!Q47="S",Charges!Q47="M",Charges!Q47="L",Charges!Q47="XL"),0,1)+IF(OR(Charges!R47="",AND(ISNUMBER(Charges!R47),Charges!R47&gt;=0),Charges!R47="S",Charges!R47="M",Charges!R47="L",Charges!R47="XL"),0,1)</f>
        <v>0</v>
      </c>
      <c r="U47" t="n">
        <f>IF(AND(1&gt;Paramètres!$B$9,Charges!F47&lt;&gt;"",Charges!F47&lt;&gt;0),1,0)+IF(AND(2&gt;Paramètres!$B$9,Charges!G47&lt;&gt;"",Charges!G47&lt;&gt;0),1,0)+IF(AND(3&gt;Paramètres!$B$9,Charges!H47&lt;&gt;"",Charges!H47&lt;&gt;0),1,0)+IF(AND(4&gt;Paramètres!$B$9,Charges!I47&lt;&gt;"",Charges!I47&lt;&gt;0),1,0)+IF(AND(5&gt;Paramètres!$B$9,Charges!J47&lt;&gt;"",Charges!J47&lt;&gt;0),1,0)+IF(AND(6&gt;Paramètres!$B$9,Charges!K47&lt;&gt;"",Charges!K47&lt;&gt;0),1,0)+IF(AND(7&gt;Paramètres!$B$9,Charges!L47&lt;&gt;"",Charges!L47&lt;&gt;0),1,0)+IF(AND(8&gt;Paramètres!$B$9,Charges!M47&lt;&gt;"",Charges!M47&lt;&gt;0),1,0)+IF(AND(9&gt;Paramètres!$B$9,Charges!N47&lt;&gt;"",Charges!N47&lt;&gt;0),1,0)+IF(AND(10&gt;Paramètres!$B$9,Charges!O47&lt;&gt;"",Charges!O47&lt;&gt;0),1,0)+IF(AND(11&gt;Paramètres!$B$9,Charges!P47&lt;&gt;"",Charges!P47&lt;&gt;0),1,0)+IF(AND(12&gt;Paramètres!$B$9,Charges!Q47&lt;&gt;"",Charges!Q47&lt;&gt;0),1,0)+IF(AND(13&gt;Paramètres!$B$9,Charges!R47&lt;&gt;"",Charges!R47&lt;&gt;0),1,0)</f>
        <v>0</v>
      </c>
      <c r="V47" t="n">
        <f>IF(IFERROR(VLOOKUP(A47,'Projets'!$A$8:$Z$67,5,FALSE),"")="Engager",1,0)</f>
        <v>0</v>
      </c>
      <c r="W47" t="n">
        <f>IF(IFERROR(VLOOKUP(A47,'Projets'!$A$8:$Z$67,6,FALSE),"")="Engager",1,0)</f>
        <v>0</v>
      </c>
      <c r="X47" t="n">
        <f>E47*S47</f>
        <v>0</v>
      </c>
      <c r="Y47" t="n">
        <f>F47*S47</f>
        <v>0</v>
      </c>
      <c r="Z47" t="n">
        <f>G47*S47</f>
        <v>0</v>
      </c>
      <c r="AA47" t="n">
        <f>H47*S47</f>
        <v>0</v>
      </c>
      <c r="AB47" t="n">
        <f>I47*S47</f>
        <v>0</v>
      </c>
      <c r="AC47" t="n">
        <f>J47*S47</f>
        <v>0</v>
      </c>
      <c r="AD47" t="n">
        <f>K47*S47</f>
        <v>0</v>
      </c>
      <c r="AE47" t="n">
        <f>L47*S47</f>
        <v>0</v>
      </c>
      <c r="AF47" t="n">
        <f>M47*S47</f>
        <v>0</v>
      </c>
      <c r="AG47" t="n">
        <f>N47*S47</f>
        <v>0</v>
      </c>
      <c r="AH47" t="n">
        <f>O47*S47</f>
        <v>0</v>
      </c>
      <c r="AI47" t="n">
        <f>P47*S47</f>
        <v>0</v>
      </c>
      <c r="AJ47" t="n">
        <f>Q47*S47</f>
        <v>0</v>
      </c>
      <c r="AK47" t="n">
        <f>E47*V47</f>
        <v>0</v>
      </c>
      <c r="AL47" t="n">
        <f>F47*V47</f>
        <v>0</v>
      </c>
      <c r="AM47" t="n">
        <f>G47*V47</f>
        <v>0</v>
      </c>
      <c r="AN47" t="n">
        <f>H47*V47</f>
        <v>0</v>
      </c>
      <c r="AO47" t="n">
        <f>I47*V47</f>
        <v>0</v>
      </c>
      <c r="AP47" t="n">
        <f>J47*V47</f>
        <v>0</v>
      </c>
      <c r="AQ47" t="n">
        <f>K47*V47</f>
        <v>0</v>
      </c>
      <c r="AR47" t="n">
        <f>L47*V47</f>
        <v>0</v>
      </c>
      <c r="AS47" t="n">
        <f>M47*V47</f>
        <v>0</v>
      </c>
      <c r="AT47" t="n">
        <f>N47*V47</f>
        <v>0</v>
      </c>
      <c r="AU47" t="n">
        <f>O47*V47</f>
        <v>0</v>
      </c>
      <c r="AV47" t="n">
        <f>P47*V47</f>
        <v>0</v>
      </c>
      <c r="AW47" t="n">
        <f>Q47*V47</f>
        <v>0</v>
      </c>
      <c r="AX47" t="n">
        <f>E47*W47</f>
        <v>0</v>
      </c>
      <c r="AY47" t="n">
        <f>F47*W47</f>
        <v>0</v>
      </c>
      <c r="AZ47" t="n">
        <f>G47*W47</f>
        <v>0</v>
      </c>
      <c r="BA47" t="n">
        <f>H47*W47</f>
        <v>0</v>
      </c>
      <c r="BB47" t="n">
        <f>I47*W47</f>
        <v>0</v>
      </c>
      <c r="BC47" t="n">
        <f>J47*W47</f>
        <v>0</v>
      </c>
      <c r="BD47" t="n">
        <f>K47*W47</f>
        <v>0</v>
      </c>
      <c r="BE47" t="n">
        <f>L47*W47</f>
        <v>0</v>
      </c>
      <c r="BF47" t="n">
        <f>M47*W47</f>
        <v>0</v>
      </c>
      <c r="BG47" t="n">
        <f>N47*W47</f>
        <v>0</v>
      </c>
      <c r="BH47" t="n">
        <f>O47*W47</f>
        <v>0</v>
      </c>
      <c r="BI47" t="n">
        <f>P47*W47</f>
        <v>0</v>
      </c>
      <c r="BJ47" t="n">
        <f>Q47*W47</f>
        <v>0</v>
      </c>
      <c r="BM47" t="n">
        <f>IF(OR(Personnes!$A47="",1&gt;Paramètres!$B$9),0,MAX(0,SUMIF($B$8:$B$247,Personnes!$A47,$E$8:$E$247)-'Planning par personne'!C47))</f>
        <v>0</v>
      </c>
      <c r="BN47" t="n">
        <f>IF(OR(Personnes!$A47="",2&gt;Paramètres!$B$9),0,MAX(0,SUMIF($B$8:$B$247,Personnes!$A47,$F$8:$F$247)-'Planning par personne'!D47))</f>
        <v>0</v>
      </c>
      <c r="BO47" t="n">
        <f>IF(OR(Personnes!$A47="",3&gt;Paramètres!$B$9),0,MAX(0,SUMIF($B$8:$B$247,Personnes!$A47,$G$8:$G$247)-'Planning par personne'!E47))</f>
        <v>0</v>
      </c>
      <c r="BP47" t="n">
        <f>IF(OR(Personnes!$A47="",4&gt;Paramètres!$B$9),0,MAX(0,SUMIF($B$8:$B$247,Personnes!$A47,$H$8:$H$247)-'Planning par personne'!F47))</f>
        <v>0</v>
      </c>
      <c r="BQ47" t="n">
        <f>IF(OR(Personnes!$A47="",5&gt;Paramètres!$B$9),0,MAX(0,SUMIF($B$8:$B$247,Personnes!$A47,$I$8:$I$247)-'Planning par personne'!G47))</f>
        <v>0</v>
      </c>
      <c r="BR47" t="n">
        <f>IF(OR(Personnes!$A47="",6&gt;Paramètres!$B$9),0,MAX(0,SUMIF($B$8:$B$247,Personnes!$A47,$J$8:$J$247)-'Planning par personne'!H47))</f>
        <v>0</v>
      </c>
      <c r="BS47" t="n">
        <f>IF(OR(Personnes!$A47="",7&gt;Paramètres!$B$9),0,MAX(0,SUMIF($B$8:$B$247,Personnes!$A47,$K$8:$K$247)-'Planning par personne'!I47))</f>
        <v>0</v>
      </c>
      <c r="BT47" t="n">
        <f>IF(OR(Personnes!$A47="",8&gt;Paramètres!$B$9),0,MAX(0,SUMIF($B$8:$B$247,Personnes!$A47,$L$8:$L$247)-'Planning par personne'!J47))</f>
        <v>0</v>
      </c>
      <c r="BU47" t="n">
        <f>IF(OR(Personnes!$A47="",9&gt;Paramètres!$B$9),0,MAX(0,SUMIF($B$8:$B$247,Personnes!$A47,$M$8:$M$247)-'Planning par personne'!K47))</f>
        <v>0</v>
      </c>
      <c r="BV47" t="n">
        <f>IF(OR(Personnes!$A47="",10&gt;Paramètres!$B$9),0,MAX(0,SUMIF($B$8:$B$247,Personnes!$A47,$N$8:$N$247)-'Planning par personne'!L47))</f>
        <v>0</v>
      </c>
      <c r="BW47" t="n">
        <f>IF(OR(Personnes!$A47="",11&gt;Paramètres!$B$9),0,MAX(0,SUMIF($B$8:$B$247,Personnes!$A47,$O$8:$O$247)-'Planning par personne'!M47))</f>
        <v>0</v>
      </c>
      <c r="BX47" t="n">
        <f>IF(OR(Personnes!$A47="",12&gt;Paramètres!$B$9),0,MAX(0,SUMIF($B$8:$B$247,Personnes!$A47,$P$8:$P$247)-'Planning par personne'!N47))</f>
        <v>0</v>
      </c>
      <c r="BY47" t="n">
        <f>IF(OR(Personnes!$A47="",13&gt;Paramètres!$B$9),0,MAX(0,SUMIF($B$8:$B$247,Personnes!$A47,$Q$8:$Q$247)-'Planning par personne'!O47))</f>
        <v>0</v>
      </c>
      <c r="BZ47" t="n">
        <f>IF(OR(Personnes!$A47="",1&gt;Paramètres!$B$9),0,MAX(0,SUMIF($B$8:$B$247,Personnes!$A47,$AK$8:$AK$247)-'Planning par personne'!C47))</f>
        <v>0</v>
      </c>
      <c r="CA47" t="n">
        <f>IF(OR(Personnes!$A47="",2&gt;Paramètres!$B$9),0,MAX(0,SUMIF($B$8:$B$247,Personnes!$A47,$AL$8:$AL$247)-'Planning par personne'!D47))</f>
        <v>0</v>
      </c>
      <c r="CB47" t="n">
        <f>IF(OR(Personnes!$A47="",3&gt;Paramètres!$B$9),0,MAX(0,SUMIF($B$8:$B$247,Personnes!$A47,$AM$8:$AM$247)-'Planning par personne'!E47))</f>
        <v>0</v>
      </c>
      <c r="CC47" t="n">
        <f>IF(OR(Personnes!$A47="",4&gt;Paramètres!$B$9),0,MAX(0,SUMIF($B$8:$B$247,Personnes!$A47,$AN$8:$AN$247)-'Planning par personne'!F47))</f>
        <v>0</v>
      </c>
      <c r="CD47" t="n">
        <f>IF(OR(Personnes!$A47="",5&gt;Paramètres!$B$9),0,MAX(0,SUMIF($B$8:$B$247,Personnes!$A47,$AO$8:$AO$247)-'Planning par personne'!G47))</f>
        <v>0</v>
      </c>
      <c r="CE47" t="n">
        <f>IF(OR(Personnes!$A47="",6&gt;Paramètres!$B$9),0,MAX(0,SUMIF($B$8:$B$247,Personnes!$A47,$AP$8:$AP$247)-'Planning par personne'!H47))</f>
        <v>0</v>
      </c>
      <c r="CF47" t="n">
        <f>IF(OR(Personnes!$A47="",7&gt;Paramètres!$B$9),0,MAX(0,SUMIF($B$8:$B$247,Personnes!$A47,$AQ$8:$AQ$247)-'Planning par personne'!I47))</f>
        <v>0</v>
      </c>
      <c r="CG47" t="n">
        <f>IF(OR(Personnes!$A47="",8&gt;Paramètres!$B$9),0,MAX(0,SUMIF($B$8:$B$247,Personnes!$A47,$AR$8:$AR$247)-'Planning par personne'!J47))</f>
        <v>0</v>
      </c>
      <c r="CH47" t="n">
        <f>IF(OR(Personnes!$A47="",9&gt;Paramètres!$B$9),0,MAX(0,SUMIF($B$8:$B$247,Personnes!$A47,$AS$8:$AS$247)-'Planning par personne'!K47))</f>
        <v>0</v>
      </c>
      <c r="CI47" t="n">
        <f>IF(OR(Personnes!$A47="",10&gt;Paramètres!$B$9),0,MAX(0,SUMIF($B$8:$B$247,Personnes!$A47,$AT$8:$AT$247)-'Planning par personne'!L47))</f>
        <v>0</v>
      </c>
      <c r="CJ47" t="n">
        <f>IF(OR(Personnes!$A47="",11&gt;Paramètres!$B$9),0,MAX(0,SUMIF($B$8:$B$247,Personnes!$A47,$AU$8:$AU$247)-'Planning par personne'!M47))</f>
        <v>0</v>
      </c>
      <c r="CK47" t="n">
        <f>IF(OR(Personnes!$A47="",12&gt;Paramètres!$B$9),0,MAX(0,SUMIF($B$8:$B$247,Personnes!$A47,$AV$8:$AV$247)-'Planning par personne'!N47))</f>
        <v>0</v>
      </c>
      <c r="CL47" t="n">
        <f>IF(OR(Personnes!$A47="",13&gt;Paramètres!$B$9),0,MAX(0,SUMIF($B$8:$B$247,Personnes!$A47,$AW$8:$AW$247)-'Planning par personne'!O47))</f>
        <v>0</v>
      </c>
      <c r="CM47" t="n">
        <f>IF(OR(Personnes!$A47="",1&gt;Paramètres!$B$9),0,MAX(0,SUMIF($B$8:$B$247,Personnes!$A47,$AX$8:$AX$247)-'Planning par personne'!C47))</f>
        <v>0</v>
      </c>
      <c r="CN47" t="n">
        <f>IF(OR(Personnes!$A47="",2&gt;Paramètres!$B$9),0,MAX(0,SUMIF($B$8:$B$247,Personnes!$A47,$AY$8:$AY$247)-'Planning par personne'!D47))</f>
        <v>0</v>
      </c>
      <c r="CO47" t="n">
        <f>IF(OR(Personnes!$A47="",3&gt;Paramètres!$B$9),0,MAX(0,SUMIF($B$8:$B$247,Personnes!$A47,$AZ$8:$AZ$247)-'Planning par personne'!E47))</f>
        <v>0</v>
      </c>
      <c r="CP47" t="n">
        <f>IF(OR(Personnes!$A47="",4&gt;Paramètres!$B$9),0,MAX(0,SUMIF($B$8:$B$247,Personnes!$A47,$BA$8:$BA$247)-'Planning par personne'!F47))</f>
        <v>0</v>
      </c>
      <c r="CQ47" t="n">
        <f>IF(OR(Personnes!$A47="",5&gt;Paramètres!$B$9),0,MAX(0,SUMIF($B$8:$B$247,Personnes!$A47,$BB$8:$BB$247)-'Planning par personne'!G47))</f>
        <v>0</v>
      </c>
      <c r="CR47" t="n">
        <f>IF(OR(Personnes!$A47="",6&gt;Paramètres!$B$9),0,MAX(0,SUMIF($B$8:$B$247,Personnes!$A47,$BC$8:$BC$247)-'Planning par personne'!H47))</f>
        <v>0</v>
      </c>
      <c r="CS47" t="n">
        <f>IF(OR(Personnes!$A47="",7&gt;Paramètres!$B$9),0,MAX(0,SUMIF($B$8:$B$247,Personnes!$A47,$BD$8:$BD$247)-'Planning par personne'!I47))</f>
        <v>0</v>
      </c>
      <c r="CT47" t="n">
        <f>IF(OR(Personnes!$A47="",8&gt;Paramètres!$B$9),0,MAX(0,SUMIF($B$8:$B$247,Personnes!$A47,$BE$8:$BE$247)-'Planning par personne'!J47))</f>
        <v>0</v>
      </c>
      <c r="CU47" t="n">
        <f>IF(OR(Personnes!$A47="",9&gt;Paramètres!$B$9),0,MAX(0,SUMIF($B$8:$B$247,Personnes!$A47,$BF$8:$BF$247)-'Planning par personne'!K47))</f>
        <v>0</v>
      </c>
      <c r="CV47" t="n">
        <f>IF(OR(Personnes!$A47="",10&gt;Paramètres!$B$9),0,MAX(0,SUMIF($B$8:$B$247,Personnes!$A47,$BG$8:$BG$247)-'Planning par personne'!L47))</f>
        <v>0</v>
      </c>
      <c r="CW47" t="n">
        <f>IF(OR(Personnes!$A47="",11&gt;Paramètres!$B$9),0,MAX(0,SUMIF($B$8:$B$247,Personnes!$A47,$BH$8:$BH$247)-'Planning par personne'!M47))</f>
        <v>0</v>
      </c>
      <c r="CX47" t="n">
        <f>IF(OR(Personnes!$A47="",12&gt;Paramètres!$B$9),0,MAX(0,SUMIF($B$8:$B$247,Personnes!$A47,$BI$8:$BI$247)-'Planning par personne'!N47))</f>
        <v>0</v>
      </c>
      <c r="CY47" t="n">
        <f>IF(OR(Personnes!$A47="",13&gt;Paramètres!$B$9),0,MAX(0,SUMIF($B$8:$B$247,Personnes!$A47,$BJ$8:$BJ$247)-'Planning par personne'!O47))</f>
        <v>0</v>
      </c>
      <c r="DJ47" t="n">
        <f>SUM(BM47:BY47)</f>
        <v>0</v>
      </c>
      <c r="DK47" t="n">
        <f>SUM(BZ47:CL47)</f>
        <v>0</v>
      </c>
      <c r="DL47" t="n">
        <f>SUM(CM47:CY47)</f>
        <v>0</v>
      </c>
      <c r="DM47" t="str">
        <f>IF(AND(Projets!A47&lt;&gt;"",Projets!G47="Engager"),DM46&amp;IF(DM46="","",", ")&amp;Projets!B47,DM46)</f>
        <v/>
      </c>
      <c r="DN47" t="str">
        <f>IF(AND(Projets!A47&lt;&gt;"",Projets!G47="Reporter"),DN46&amp;IF(DN46="","",", ")&amp;Projets!B47,DN46)</f>
        <v/>
      </c>
    </row>
    <row r="48">
      <c r="A48" t="n">
        <f>Charges!A48</f>
        <v>0</v>
      </c>
      <c r="B48" t="n">
        <f>Charges!C48</f>
        <v>0</v>
      </c>
      <c r="C48" t="str">
        <f>Charges!D48</f>
        <v/>
      </c>
      <c r="E48" t="n">
        <f>IF(1&lt;=Paramètres!$B$9,MAX(0,IFERROR(N(IF(ISNUMBER(Charges!F48),MAX(0,Charges!F48),IFERROR(VLOOKUP(Charges!F48,Paramètres!$A$15:$B$18,2,FALSE),0))),0)),0)</f>
        <v>0</v>
      </c>
      <c r="F48" t="n">
        <f>IF(2&lt;=Paramètres!$B$9,MAX(0,IFERROR(N(IF(ISNUMBER(Charges!G48),MAX(0,Charges!G48),IFERROR(VLOOKUP(Charges!G48,Paramètres!$A$15:$B$18,2,FALSE),0))),0)),0)</f>
        <v>0</v>
      </c>
      <c r="G48" t="n">
        <f>IF(3&lt;=Paramètres!$B$9,MAX(0,IFERROR(N(IF(ISNUMBER(Charges!H48),MAX(0,Charges!H48),IFERROR(VLOOKUP(Charges!H48,Paramètres!$A$15:$B$18,2,FALSE),0))),0)),0)</f>
        <v>0</v>
      </c>
      <c r="H48" t="n">
        <f>IF(4&lt;=Paramètres!$B$9,MAX(0,IFERROR(N(IF(ISNUMBER(Charges!I48),MAX(0,Charges!I48),IFERROR(VLOOKUP(Charges!I48,Paramètres!$A$15:$B$18,2,FALSE),0))),0)),0)</f>
        <v>0</v>
      </c>
      <c r="I48" t="n">
        <f>IF(5&lt;=Paramètres!$B$9,MAX(0,IFERROR(N(IF(ISNUMBER(Charges!J48),MAX(0,Charges!J48),IFERROR(VLOOKUP(Charges!J48,Paramètres!$A$15:$B$18,2,FALSE),0))),0)),0)</f>
        <v>0</v>
      </c>
      <c r="J48" t="n">
        <f>IF(6&lt;=Paramètres!$B$9,MAX(0,IFERROR(N(IF(ISNUMBER(Charges!K48),MAX(0,Charges!K48),IFERROR(VLOOKUP(Charges!K48,Paramètres!$A$15:$B$18,2,FALSE),0))),0)),0)</f>
        <v>0</v>
      </c>
      <c r="K48" t="n">
        <f>IF(7&lt;=Paramètres!$B$9,MAX(0,IFERROR(N(IF(ISNUMBER(Charges!L48),MAX(0,Charges!L48),IFERROR(VLOOKUP(Charges!L48,Paramètres!$A$15:$B$18,2,FALSE),0))),0)),0)</f>
        <v>0</v>
      </c>
      <c r="L48" t="n">
        <f>IF(8&lt;=Paramètres!$B$9,MAX(0,IFERROR(N(IF(ISNUMBER(Charges!M48),MAX(0,Charges!M48),IFERROR(VLOOKUP(Charges!M48,Paramètres!$A$15:$B$18,2,FALSE),0))),0)),0)</f>
        <v>0</v>
      </c>
      <c r="M48" t="n">
        <f>IF(9&lt;=Paramètres!$B$9,MAX(0,IFERROR(N(IF(ISNUMBER(Charges!N48),MAX(0,Charges!N48),IFERROR(VLOOKUP(Charges!N48,Paramètres!$A$15:$B$18,2,FALSE),0))),0)),0)</f>
        <v>0</v>
      </c>
      <c r="N48" t="n">
        <f>IF(10&lt;=Paramètres!$B$9,MAX(0,IFERROR(N(IF(ISNUMBER(Charges!O48),MAX(0,Charges!O48),IFERROR(VLOOKUP(Charges!O48,Paramètres!$A$15:$B$18,2,FALSE),0))),0)),0)</f>
        <v>0</v>
      </c>
      <c r="O48" t="n">
        <f>IF(11&lt;=Paramètres!$B$9,MAX(0,IFERROR(N(IF(ISNUMBER(Charges!P48),MAX(0,Charges!P48),IFERROR(VLOOKUP(Charges!P48,Paramètres!$A$15:$B$18,2,FALSE),0))),0)),0)</f>
        <v>0</v>
      </c>
      <c r="P48" t="n">
        <f>IF(12&lt;=Paramètres!$B$9,MAX(0,IFERROR(N(IF(ISNUMBER(Charges!Q48),MAX(0,Charges!Q48),IFERROR(VLOOKUP(Charges!Q48,Paramètres!$A$15:$B$18,2,FALSE),0))),0)),0)</f>
        <v>0</v>
      </c>
      <c r="Q48" t="n">
        <f>IF(13&lt;=Paramètres!$B$9,MAX(0,IFERROR(N(IF(ISNUMBER(Charges!R48),MAX(0,Charges!R48),IFERROR(VLOOKUP(Charges!R48,Paramètres!$A$15:$B$18,2,FALSE),0))),0)),0)</f>
        <v>0</v>
      </c>
      <c r="R48" t="n">
        <f>SUM(E48:Q48)</f>
        <v>0</v>
      </c>
      <c r="S48" t="n">
        <f>IF(IFERROR(VLOOKUP(A48,'Projets'!$A$8:$Z$67,7,FALSE),"")="Engager",1,0)</f>
        <v>0</v>
      </c>
      <c r="T48" t="n">
        <f>IF(OR(Charges!F48="",AND(ISNUMBER(Charges!F48),Charges!F48&gt;=0),Charges!F48="S",Charges!F48="M",Charges!F48="L",Charges!F48="XL"),0,1)+IF(OR(Charges!G48="",AND(ISNUMBER(Charges!G48),Charges!G48&gt;=0),Charges!G48="S",Charges!G48="M",Charges!G48="L",Charges!G48="XL"),0,1)+IF(OR(Charges!H48="",AND(ISNUMBER(Charges!H48),Charges!H48&gt;=0),Charges!H48="S",Charges!H48="M",Charges!H48="L",Charges!H48="XL"),0,1)+IF(OR(Charges!I48="",AND(ISNUMBER(Charges!I48),Charges!I48&gt;=0),Charges!I48="S",Charges!I48="M",Charges!I48="L",Charges!I48="XL"),0,1)+IF(OR(Charges!J48="",AND(ISNUMBER(Charges!J48),Charges!J48&gt;=0),Charges!J48="S",Charges!J48="M",Charges!J48="L",Charges!J48="XL"),0,1)+IF(OR(Charges!K48="",AND(ISNUMBER(Charges!K48),Charges!K48&gt;=0),Charges!K48="S",Charges!K48="M",Charges!K48="L",Charges!K48="XL"),0,1)+IF(OR(Charges!L48="",AND(ISNUMBER(Charges!L48),Charges!L48&gt;=0),Charges!L48="S",Charges!L48="M",Charges!L48="L",Charges!L48="XL"),0,1)+IF(OR(Charges!M48="",AND(ISNUMBER(Charges!M48),Charges!M48&gt;=0),Charges!M48="S",Charges!M48="M",Charges!M48="L",Charges!M48="XL"),0,1)+IF(OR(Charges!N48="",AND(ISNUMBER(Charges!N48),Charges!N48&gt;=0),Charges!N48="S",Charges!N48="M",Charges!N48="L",Charges!N48="XL"),0,1)+IF(OR(Charges!O48="",AND(ISNUMBER(Charges!O48),Charges!O48&gt;=0),Charges!O48="S",Charges!O48="M",Charges!O48="L",Charges!O48="XL"),0,1)+IF(OR(Charges!P48="",AND(ISNUMBER(Charges!P48),Charges!P48&gt;=0),Charges!P48="S",Charges!P48="M",Charges!P48="L",Charges!P48="XL"),0,1)+IF(OR(Charges!Q48="",AND(ISNUMBER(Charges!Q48),Charges!Q48&gt;=0),Charges!Q48="S",Charges!Q48="M",Charges!Q48="L",Charges!Q48="XL"),0,1)+IF(OR(Charges!R48="",AND(ISNUMBER(Charges!R48),Charges!R48&gt;=0),Charges!R48="S",Charges!R48="M",Charges!R48="L",Charges!R48="XL"),0,1)</f>
        <v>0</v>
      </c>
      <c r="U48" t="n">
        <f>IF(AND(1&gt;Paramètres!$B$9,Charges!F48&lt;&gt;"",Charges!F48&lt;&gt;0),1,0)+IF(AND(2&gt;Paramètres!$B$9,Charges!G48&lt;&gt;"",Charges!G48&lt;&gt;0),1,0)+IF(AND(3&gt;Paramètres!$B$9,Charges!H48&lt;&gt;"",Charges!H48&lt;&gt;0),1,0)+IF(AND(4&gt;Paramètres!$B$9,Charges!I48&lt;&gt;"",Charges!I48&lt;&gt;0),1,0)+IF(AND(5&gt;Paramètres!$B$9,Charges!J48&lt;&gt;"",Charges!J48&lt;&gt;0),1,0)+IF(AND(6&gt;Paramètres!$B$9,Charges!K48&lt;&gt;"",Charges!K48&lt;&gt;0),1,0)+IF(AND(7&gt;Paramètres!$B$9,Charges!L48&lt;&gt;"",Charges!L48&lt;&gt;0),1,0)+IF(AND(8&gt;Paramètres!$B$9,Charges!M48&lt;&gt;"",Charges!M48&lt;&gt;0),1,0)+IF(AND(9&gt;Paramètres!$B$9,Charges!N48&lt;&gt;"",Charges!N48&lt;&gt;0),1,0)+IF(AND(10&gt;Paramètres!$B$9,Charges!O48&lt;&gt;"",Charges!O48&lt;&gt;0),1,0)+IF(AND(11&gt;Paramètres!$B$9,Charges!P48&lt;&gt;"",Charges!P48&lt;&gt;0),1,0)+IF(AND(12&gt;Paramètres!$B$9,Charges!Q48&lt;&gt;"",Charges!Q48&lt;&gt;0),1,0)+IF(AND(13&gt;Paramètres!$B$9,Charges!R48&lt;&gt;"",Charges!R48&lt;&gt;0),1,0)</f>
        <v>0</v>
      </c>
      <c r="V48" t="n">
        <f>IF(IFERROR(VLOOKUP(A48,'Projets'!$A$8:$Z$67,5,FALSE),"")="Engager",1,0)</f>
        <v>0</v>
      </c>
      <c r="W48" t="n">
        <f>IF(IFERROR(VLOOKUP(A48,'Projets'!$A$8:$Z$67,6,FALSE),"")="Engager",1,0)</f>
        <v>0</v>
      </c>
      <c r="X48" t="n">
        <f>E48*S48</f>
        <v>0</v>
      </c>
      <c r="Y48" t="n">
        <f>F48*S48</f>
        <v>0</v>
      </c>
      <c r="Z48" t="n">
        <f>G48*S48</f>
        <v>0</v>
      </c>
      <c r="AA48" t="n">
        <f>H48*S48</f>
        <v>0</v>
      </c>
      <c r="AB48" t="n">
        <f>I48*S48</f>
        <v>0</v>
      </c>
      <c r="AC48" t="n">
        <f>J48*S48</f>
        <v>0</v>
      </c>
      <c r="AD48" t="n">
        <f>K48*S48</f>
        <v>0</v>
      </c>
      <c r="AE48" t="n">
        <f>L48*S48</f>
        <v>0</v>
      </c>
      <c r="AF48" t="n">
        <f>M48*S48</f>
        <v>0</v>
      </c>
      <c r="AG48" t="n">
        <f>N48*S48</f>
        <v>0</v>
      </c>
      <c r="AH48" t="n">
        <f>O48*S48</f>
        <v>0</v>
      </c>
      <c r="AI48" t="n">
        <f>P48*S48</f>
        <v>0</v>
      </c>
      <c r="AJ48" t="n">
        <f>Q48*S48</f>
        <v>0</v>
      </c>
      <c r="AK48" t="n">
        <f>E48*V48</f>
        <v>0</v>
      </c>
      <c r="AL48" t="n">
        <f>F48*V48</f>
        <v>0</v>
      </c>
      <c r="AM48" t="n">
        <f>G48*V48</f>
        <v>0</v>
      </c>
      <c r="AN48" t="n">
        <f>H48*V48</f>
        <v>0</v>
      </c>
      <c r="AO48" t="n">
        <f>I48*V48</f>
        <v>0</v>
      </c>
      <c r="AP48" t="n">
        <f>J48*V48</f>
        <v>0</v>
      </c>
      <c r="AQ48" t="n">
        <f>K48*V48</f>
        <v>0</v>
      </c>
      <c r="AR48" t="n">
        <f>L48*V48</f>
        <v>0</v>
      </c>
      <c r="AS48" t="n">
        <f>M48*V48</f>
        <v>0</v>
      </c>
      <c r="AT48" t="n">
        <f>N48*V48</f>
        <v>0</v>
      </c>
      <c r="AU48" t="n">
        <f>O48*V48</f>
        <v>0</v>
      </c>
      <c r="AV48" t="n">
        <f>P48*V48</f>
        <v>0</v>
      </c>
      <c r="AW48" t="n">
        <f>Q48*V48</f>
        <v>0</v>
      </c>
      <c r="AX48" t="n">
        <f>E48*W48</f>
        <v>0</v>
      </c>
      <c r="AY48" t="n">
        <f>F48*W48</f>
        <v>0</v>
      </c>
      <c r="AZ48" t="n">
        <f>G48*W48</f>
        <v>0</v>
      </c>
      <c r="BA48" t="n">
        <f>H48*W48</f>
        <v>0</v>
      </c>
      <c r="BB48" t="n">
        <f>I48*W48</f>
        <v>0</v>
      </c>
      <c r="BC48" t="n">
        <f>J48*W48</f>
        <v>0</v>
      </c>
      <c r="BD48" t="n">
        <f>K48*W48</f>
        <v>0</v>
      </c>
      <c r="BE48" t="n">
        <f>L48*W48</f>
        <v>0</v>
      </c>
      <c r="BF48" t="n">
        <f>M48*W48</f>
        <v>0</v>
      </c>
      <c r="BG48" t="n">
        <f>N48*W48</f>
        <v>0</v>
      </c>
      <c r="BH48" t="n">
        <f>O48*W48</f>
        <v>0</v>
      </c>
      <c r="BI48" t="n">
        <f>P48*W48</f>
        <v>0</v>
      </c>
      <c r="BJ48" t="n">
        <f>Q48*W48</f>
        <v>0</v>
      </c>
      <c r="DM48" t="str">
        <f>IF(AND(Projets!A48&lt;&gt;"",Projets!G48="Engager"),DM47&amp;IF(DM47="","",", ")&amp;Projets!B48,DM47)</f>
        <v/>
      </c>
      <c r="DN48" t="str">
        <f>IF(AND(Projets!A48&lt;&gt;"",Projets!G48="Reporter"),DN47&amp;IF(DN47="","",", ")&amp;Projets!B48,DN47)</f>
        <v/>
      </c>
    </row>
    <row r="49">
      <c r="A49" t="n">
        <f>Charges!A49</f>
        <v>0</v>
      </c>
      <c r="B49" t="n">
        <f>Charges!C49</f>
        <v>0</v>
      </c>
      <c r="C49" t="str">
        <f>Charges!D49</f>
        <v/>
      </c>
      <c r="E49" t="n">
        <f>IF(1&lt;=Paramètres!$B$9,MAX(0,IFERROR(N(IF(ISNUMBER(Charges!F49),MAX(0,Charges!F49),IFERROR(VLOOKUP(Charges!F49,Paramètres!$A$15:$B$18,2,FALSE),0))),0)),0)</f>
        <v>0</v>
      </c>
      <c r="F49" t="n">
        <f>IF(2&lt;=Paramètres!$B$9,MAX(0,IFERROR(N(IF(ISNUMBER(Charges!G49),MAX(0,Charges!G49),IFERROR(VLOOKUP(Charges!G49,Paramètres!$A$15:$B$18,2,FALSE),0))),0)),0)</f>
        <v>0</v>
      </c>
      <c r="G49" t="n">
        <f>IF(3&lt;=Paramètres!$B$9,MAX(0,IFERROR(N(IF(ISNUMBER(Charges!H49),MAX(0,Charges!H49),IFERROR(VLOOKUP(Charges!H49,Paramètres!$A$15:$B$18,2,FALSE),0))),0)),0)</f>
        <v>0</v>
      </c>
      <c r="H49" t="n">
        <f>IF(4&lt;=Paramètres!$B$9,MAX(0,IFERROR(N(IF(ISNUMBER(Charges!I49),MAX(0,Charges!I49),IFERROR(VLOOKUP(Charges!I49,Paramètres!$A$15:$B$18,2,FALSE),0))),0)),0)</f>
        <v>0</v>
      </c>
      <c r="I49" t="n">
        <f>IF(5&lt;=Paramètres!$B$9,MAX(0,IFERROR(N(IF(ISNUMBER(Charges!J49),MAX(0,Charges!J49),IFERROR(VLOOKUP(Charges!J49,Paramètres!$A$15:$B$18,2,FALSE),0))),0)),0)</f>
        <v>0</v>
      </c>
      <c r="J49" t="n">
        <f>IF(6&lt;=Paramètres!$B$9,MAX(0,IFERROR(N(IF(ISNUMBER(Charges!K49),MAX(0,Charges!K49),IFERROR(VLOOKUP(Charges!K49,Paramètres!$A$15:$B$18,2,FALSE),0))),0)),0)</f>
        <v>0</v>
      </c>
      <c r="K49" t="n">
        <f>IF(7&lt;=Paramètres!$B$9,MAX(0,IFERROR(N(IF(ISNUMBER(Charges!L49),MAX(0,Charges!L49),IFERROR(VLOOKUP(Charges!L49,Paramètres!$A$15:$B$18,2,FALSE),0))),0)),0)</f>
        <v>0</v>
      </c>
      <c r="L49" t="n">
        <f>IF(8&lt;=Paramètres!$B$9,MAX(0,IFERROR(N(IF(ISNUMBER(Charges!M49),MAX(0,Charges!M49),IFERROR(VLOOKUP(Charges!M49,Paramètres!$A$15:$B$18,2,FALSE),0))),0)),0)</f>
        <v>0</v>
      </c>
      <c r="M49" t="n">
        <f>IF(9&lt;=Paramètres!$B$9,MAX(0,IFERROR(N(IF(ISNUMBER(Charges!N49),MAX(0,Charges!N49),IFERROR(VLOOKUP(Charges!N49,Paramètres!$A$15:$B$18,2,FALSE),0))),0)),0)</f>
        <v>0</v>
      </c>
      <c r="N49" t="n">
        <f>IF(10&lt;=Paramètres!$B$9,MAX(0,IFERROR(N(IF(ISNUMBER(Charges!O49),MAX(0,Charges!O49),IFERROR(VLOOKUP(Charges!O49,Paramètres!$A$15:$B$18,2,FALSE),0))),0)),0)</f>
        <v>0</v>
      </c>
      <c r="O49" t="n">
        <f>IF(11&lt;=Paramètres!$B$9,MAX(0,IFERROR(N(IF(ISNUMBER(Charges!P49),MAX(0,Charges!P49),IFERROR(VLOOKUP(Charges!P49,Paramètres!$A$15:$B$18,2,FALSE),0))),0)),0)</f>
        <v>0</v>
      </c>
      <c r="P49" t="n">
        <f>IF(12&lt;=Paramètres!$B$9,MAX(0,IFERROR(N(IF(ISNUMBER(Charges!Q49),MAX(0,Charges!Q49),IFERROR(VLOOKUP(Charges!Q49,Paramètres!$A$15:$B$18,2,FALSE),0))),0)),0)</f>
        <v>0</v>
      </c>
      <c r="Q49" t="n">
        <f>IF(13&lt;=Paramètres!$B$9,MAX(0,IFERROR(N(IF(ISNUMBER(Charges!R49),MAX(0,Charges!R49),IFERROR(VLOOKUP(Charges!R49,Paramètres!$A$15:$B$18,2,FALSE),0))),0)),0)</f>
        <v>0</v>
      </c>
      <c r="R49" t="n">
        <f>SUM(E49:Q49)</f>
        <v>0</v>
      </c>
      <c r="S49" t="n">
        <f>IF(IFERROR(VLOOKUP(A49,'Projets'!$A$8:$Z$67,7,FALSE),"")="Engager",1,0)</f>
        <v>0</v>
      </c>
      <c r="T49" t="n">
        <f>IF(OR(Charges!F49="",AND(ISNUMBER(Charges!F49),Charges!F49&gt;=0),Charges!F49="S",Charges!F49="M",Charges!F49="L",Charges!F49="XL"),0,1)+IF(OR(Charges!G49="",AND(ISNUMBER(Charges!G49),Charges!G49&gt;=0),Charges!G49="S",Charges!G49="M",Charges!G49="L",Charges!G49="XL"),0,1)+IF(OR(Charges!H49="",AND(ISNUMBER(Charges!H49),Charges!H49&gt;=0),Charges!H49="S",Charges!H49="M",Charges!H49="L",Charges!H49="XL"),0,1)+IF(OR(Charges!I49="",AND(ISNUMBER(Charges!I49),Charges!I49&gt;=0),Charges!I49="S",Charges!I49="M",Charges!I49="L",Charges!I49="XL"),0,1)+IF(OR(Charges!J49="",AND(ISNUMBER(Charges!J49),Charges!J49&gt;=0),Charges!J49="S",Charges!J49="M",Charges!J49="L",Charges!J49="XL"),0,1)+IF(OR(Charges!K49="",AND(ISNUMBER(Charges!K49),Charges!K49&gt;=0),Charges!K49="S",Charges!K49="M",Charges!K49="L",Charges!K49="XL"),0,1)+IF(OR(Charges!L49="",AND(ISNUMBER(Charges!L49),Charges!L49&gt;=0),Charges!L49="S",Charges!L49="M",Charges!L49="L",Charges!L49="XL"),0,1)+IF(OR(Charges!M49="",AND(ISNUMBER(Charges!M49),Charges!M49&gt;=0),Charges!M49="S",Charges!M49="M",Charges!M49="L",Charges!M49="XL"),0,1)+IF(OR(Charges!N49="",AND(ISNUMBER(Charges!N49),Charges!N49&gt;=0),Charges!N49="S",Charges!N49="M",Charges!N49="L",Charges!N49="XL"),0,1)+IF(OR(Charges!O49="",AND(ISNUMBER(Charges!O49),Charges!O49&gt;=0),Charges!O49="S",Charges!O49="M",Charges!O49="L",Charges!O49="XL"),0,1)+IF(OR(Charges!P49="",AND(ISNUMBER(Charges!P49),Charges!P49&gt;=0),Charges!P49="S",Charges!P49="M",Charges!P49="L",Charges!P49="XL"),0,1)+IF(OR(Charges!Q49="",AND(ISNUMBER(Charges!Q49),Charges!Q49&gt;=0),Charges!Q49="S",Charges!Q49="M",Charges!Q49="L",Charges!Q49="XL"),0,1)+IF(OR(Charges!R49="",AND(ISNUMBER(Charges!R49),Charges!R49&gt;=0),Charges!R49="S",Charges!R49="M",Charges!R49="L",Charges!R49="XL"),0,1)</f>
        <v>0</v>
      </c>
      <c r="U49" t="n">
        <f>IF(AND(1&gt;Paramètres!$B$9,Charges!F49&lt;&gt;"",Charges!F49&lt;&gt;0),1,0)+IF(AND(2&gt;Paramètres!$B$9,Charges!G49&lt;&gt;"",Charges!G49&lt;&gt;0),1,0)+IF(AND(3&gt;Paramètres!$B$9,Charges!H49&lt;&gt;"",Charges!H49&lt;&gt;0),1,0)+IF(AND(4&gt;Paramètres!$B$9,Charges!I49&lt;&gt;"",Charges!I49&lt;&gt;0),1,0)+IF(AND(5&gt;Paramètres!$B$9,Charges!J49&lt;&gt;"",Charges!J49&lt;&gt;0),1,0)+IF(AND(6&gt;Paramètres!$B$9,Charges!K49&lt;&gt;"",Charges!K49&lt;&gt;0),1,0)+IF(AND(7&gt;Paramètres!$B$9,Charges!L49&lt;&gt;"",Charges!L49&lt;&gt;0),1,0)+IF(AND(8&gt;Paramètres!$B$9,Charges!M49&lt;&gt;"",Charges!M49&lt;&gt;0),1,0)+IF(AND(9&gt;Paramètres!$B$9,Charges!N49&lt;&gt;"",Charges!N49&lt;&gt;0),1,0)+IF(AND(10&gt;Paramètres!$B$9,Charges!O49&lt;&gt;"",Charges!O49&lt;&gt;0),1,0)+IF(AND(11&gt;Paramètres!$B$9,Charges!P49&lt;&gt;"",Charges!P49&lt;&gt;0),1,0)+IF(AND(12&gt;Paramètres!$B$9,Charges!Q49&lt;&gt;"",Charges!Q49&lt;&gt;0),1,0)+IF(AND(13&gt;Paramètres!$B$9,Charges!R49&lt;&gt;"",Charges!R49&lt;&gt;0),1,0)</f>
        <v>0</v>
      </c>
      <c r="V49" t="n">
        <f>IF(IFERROR(VLOOKUP(A49,'Projets'!$A$8:$Z$67,5,FALSE),"")="Engager",1,0)</f>
        <v>0</v>
      </c>
      <c r="W49" t="n">
        <f>IF(IFERROR(VLOOKUP(A49,'Projets'!$A$8:$Z$67,6,FALSE),"")="Engager",1,0)</f>
        <v>0</v>
      </c>
      <c r="X49" t="n">
        <f>E49*S49</f>
        <v>0</v>
      </c>
      <c r="Y49" t="n">
        <f>F49*S49</f>
        <v>0</v>
      </c>
      <c r="Z49" t="n">
        <f>G49*S49</f>
        <v>0</v>
      </c>
      <c r="AA49" t="n">
        <f>H49*S49</f>
        <v>0</v>
      </c>
      <c r="AB49" t="n">
        <f>I49*S49</f>
        <v>0</v>
      </c>
      <c r="AC49" t="n">
        <f>J49*S49</f>
        <v>0</v>
      </c>
      <c r="AD49" t="n">
        <f>K49*S49</f>
        <v>0</v>
      </c>
      <c r="AE49" t="n">
        <f>L49*S49</f>
        <v>0</v>
      </c>
      <c r="AF49" t="n">
        <f>M49*S49</f>
        <v>0</v>
      </c>
      <c r="AG49" t="n">
        <f>N49*S49</f>
        <v>0</v>
      </c>
      <c r="AH49" t="n">
        <f>O49*S49</f>
        <v>0</v>
      </c>
      <c r="AI49" t="n">
        <f>P49*S49</f>
        <v>0</v>
      </c>
      <c r="AJ49" t="n">
        <f>Q49*S49</f>
        <v>0</v>
      </c>
      <c r="AK49" t="n">
        <f>E49*V49</f>
        <v>0</v>
      </c>
      <c r="AL49" t="n">
        <f>F49*V49</f>
        <v>0</v>
      </c>
      <c r="AM49" t="n">
        <f>G49*V49</f>
        <v>0</v>
      </c>
      <c r="AN49" t="n">
        <f>H49*V49</f>
        <v>0</v>
      </c>
      <c r="AO49" t="n">
        <f>I49*V49</f>
        <v>0</v>
      </c>
      <c r="AP49" t="n">
        <f>J49*V49</f>
        <v>0</v>
      </c>
      <c r="AQ49" t="n">
        <f>K49*V49</f>
        <v>0</v>
      </c>
      <c r="AR49" t="n">
        <f>L49*V49</f>
        <v>0</v>
      </c>
      <c r="AS49" t="n">
        <f>M49*V49</f>
        <v>0</v>
      </c>
      <c r="AT49" t="n">
        <f>N49*V49</f>
        <v>0</v>
      </c>
      <c r="AU49" t="n">
        <f>O49*V49</f>
        <v>0</v>
      </c>
      <c r="AV49" t="n">
        <f>P49*V49</f>
        <v>0</v>
      </c>
      <c r="AW49" t="n">
        <f>Q49*V49</f>
        <v>0</v>
      </c>
      <c r="AX49" t="n">
        <f>E49*W49</f>
        <v>0</v>
      </c>
      <c r="AY49" t="n">
        <f>F49*W49</f>
        <v>0</v>
      </c>
      <c r="AZ49" t="n">
        <f>G49*W49</f>
        <v>0</v>
      </c>
      <c r="BA49" t="n">
        <f>H49*W49</f>
        <v>0</v>
      </c>
      <c r="BB49" t="n">
        <f>I49*W49</f>
        <v>0</v>
      </c>
      <c r="BC49" t="n">
        <f>J49*W49</f>
        <v>0</v>
      </c>
      <c r="BD49" t="n">
        <f>K49*W49</f>
        <v>0</v>
      </c>
      <c r="BE49" t="n">
        <f>L49*W49</f>
        <v>0</v>
      </c>
      <c r="BF49" t="n">
        <f>M49*W49</f>
        <v>0</v>
      </c>
      <c r="BG49" t="n">
        <f>N49*W49</f>
        <v>0</v>
      </c>
      <c r="BH49" t="n">
        <f>O49*W49</f>
        <v>0</v>
      </c>
      <c r="BI49" t="n">
        <f>P49*W49</f>
        <v>0</v>
      </c>
      <c r="BJ49" t="n">
        <f>Q49*W49</f>
        <v>0</v>
      </c>
      <c r="DM49" t="str">
        <f>IF(AND(Projets!A49&lt;&gt;"",Projets!G49="Engager"),DM48&amp;IF(DM48="","",", ")&amp;Projets!B49,DM48)</f>
        <v/>
      </c>
      <c r="DN49" t="str">
        <f>IF(AND(Projets!A49&lt;&gt;"",Projets!G49="Reporter"),DN48&amp;IF(DN48="","",", ")&amp;Projets!B49,DN48)</f>
        <v/>
      </c>
    </row>
    <row r="50">
      <c r="A50" t="n">
        <f>Charges!A50</f>
        <v>0</v>
      </c>
      <c r="B50" t="n">
        <f>Charges!C50</f>
        <v>0</v>
      </c>
      <c r="C50" t="str">
        <f>Charges!D50</f>
        <v/>
      </c>
      <c r="E50" t="n">
        <f>IF(1&lt;=Paramètres!$B$9,MAX(0,IFERROR(N(IF(ISNUMBER(Charges!F50),MAX(0,Charges!F50),IFERROR(VLOOKUP(Charges!F50,Paramètres!$A$15:$B$18,2,FALSE),0))),0)),0)</f>
        <v>0</v>
      </c>
      <c r="F50" t="n">
        <f>IF(2&lt;=Paramètres!$B$9,MAX(0,IFERROR(N(IF(ISNUMBER(Charges!G50),MAX(0,Charges!G50),IFERROR(VLOOKUP(Charges!G50,Paramètres!$A$15:$B$18,2,FALSE),0))),0)),0)</f>
        <v>0</v>
      </c>
      <c r="G50" t="n">
        <f>IF(3&lt;=Paramètres!$B$9,MAX(0,IFERROR(N(IF(ISNUMBER(Charges!H50),MAX(0,Charges!H50),IFERROR(VLOOKUP(Charges!H50,Paramètres!$A$15:$B$18,2,FALSE),0))),0)),0)</f>
        <v>0</v>
      </c>
      <c r="H50" t="n">
        <f>IF(4&lt;=Paramètres!$B$9,MAX(0,IFERROR(N(IF(ISNUMBER(Charges!I50),MAX(0,Charges!I50),IFERROR(VLOOKUP(Charges!I50,Paramètres!$A$15:$B$18,2,FALSE),0))),0)),0)</f>
        <v>0</v>
      </c>
      <c r="I50" t="n">
        <f>IF(5&lt;=Paramètres!$B$9,MAX(0,IFERROR(N(IF(ISNUMBER(Charges!J50),MAX(0,Charges!J50),IFERROR(VLOOKUP(Charges!J50,Paramètres!$A$15:$B$18,2,FALSE),0))),0)),0)</f>
        <v>0</v>
      </c>
      <c r="J50" t="n">
        <f>IF(6&lt;=Paramètres!$B$9,MAX(0,IFERROR(N(IF(ISNUMBER(Charges!K50),MAX(0,Charges!K50),IFERROR(VLOOKUP(Charges!K50,Paramètres!$A$15:$B$18,2,FALSE),0))),0)),0)</f>
        <v>0</v>
      </c>
      <c r="K50" t="n">
        <f>IF(7&lt;=Paramètres!$B$9,MAX(0,IFERROR(N(IF(ISNUMBER(Charges!L50),MAX(0,Charges!L50),IFERROR(VLOOKUP(Charges!L50,Paramètres!$A$15:$B$18,2,FALSE),0))),0)),0)</f>
        <v>0</v>
      </c>
      <c r="L50" t="n">
        <f>IF(8&lt;=Paramètres!$B$9,MAX(0,IFERROR(N(IF(ISNUMBER(Charges!M50),MAX(0,Charges!M50),IFERROR(VLOOKUP(Charges!M50,Paramètres!$A$15:$B$18,2,FALSE),0))),0)),0)</f>
        <v>0</v>
      </c>
      <c r="M50" t="n">
        <f>IF(9&lt;=Paramètres!$B$9,MAX(0,IFERROR(N(IF(ISNUMBER(Charges!N50),MAX(0,Charges!N50),IFERROR(VLOOKUP(Charges!N50,Paramètres!$A$15:$B$18,2,FALSE),0))),0)),0)</f>
        <v>0</v>
      </c>
      <c r="N50" t="n">
        <f>IF(10&lt;=Paramètres!$B$9,MAX(0,IFERROR(N(IF(ISNUMBER(Charges!O50),MAX(0,Charges!O50),IFERROR(VLOOKUP(Charges!O50,Paramètres!$A$15:$B$18,2,FALSE),0))),0)),0)</f>
        <v>0</v>
      </c>
      <c r="O50" t="n">
        <f>IF(11&lt;=Paramètres!$B$9,MAX(0,IFERROR(N(IF(ISNUMBER(Charges!P50),MAX(0,Charges!P50),IFERROR(VLOOKUP(Charges!P50,Paramètres!$A$15:$B$18,2,FALSE),0))),0)),0)</f>
        <v>0</v>
      </c>
      <c r="P50" t="n">
        <f>IF(12&lt;=Paramètres!$B$9,MAX(0,IFERROR(N(IF(ISNUMBER(Charges!Q50),MAX(0,Charges!Q50),IFERROR(VLOOKUP(Charges!Q50,Paramètres!$A$15:$B$18,2,FALSE),0))),0)),0)</f>
        <v>0</v>
      </c>
      <c r="Q50" t="n">
        <f>IF(13&lt;=Paramètres!$B$9,MAX(0,IFERROR(N(IF(ISNUMBER(Charges!R50),MAX(0,Charges!R50),IFERROR(VLOOKUP(Charges!R50,Paramètres!$A$15:$B$18,2,FALSE),0))),0)),0)</f>
        <v>0</v>
      </c>
      <c r="R50" t="n">
        <f>SUM(E50:Q50)</f>
        <v>0</v>
      </c>
      <c r="S50" t="n">
        <f>IF(IFERROR(VLOOKUP(A50,'Projets'!$A$8:$Z$67,7,FALSE),"")="Engager",1,0)</f>
        <v>0</v>
      </c>
      <c r="T50" t="n">
        <f>IF(OR(Charges!F50="",AND(ISNUMBER(Charges!F50),Charges!F50&gt;=0),Charges!F50="S",Charges!F50="M",Charges!F50="L",Charges!F50="XL"),0,1)+IF(OR(Charges!G50="",AND(ISNUMBER(Charges!G50),Charges!G50&gt;=0),Charges!G50="S",Charges!G50="M",Charges!G50="L",Charges!G50="XL"),0,1)+IF(OR(Charges!H50="",AND(ISNUMBER(Charges!H50),Charges!H50&gt;=0),Charges!H50="S",Charges!H50="M",Charges!H50="L",Charges!H50="XL"),0,1)+IF(OR(Charges!I50="",AND(ISNUMBER(Charges!I50),Charges!I50&gt;=0),Charges!I50="S",Charges!I50="M",Charges!I50="L",Charges!I50="XL"),0,1)+IF(OR(Charges!J50="",AND(ISNUMBER(Charges!J50),Charges!J50&gt;=0),Charges!J50="S",Charges!J50="M",Charges!J50="L",Charges!J50="XL"),0,1)+IF(OR(Charges!K50="",AND(ISNUMBER(Charges!K50),Charges!K50&gt;=0),Charges!K50="S",Charges!K50="M",Charges!K50="L",Charges!K50="XL"),0,1)+IF(OR(Charges!L50="",AND(ISNUMBER(Charges!L50),Charges!L50&gt;=0),Charges!L50="S",Charges!L50="M",Charges!L50="L",Charges!L50="XL"),0,1)+IF(OR(Charges!M50="",AND(ISNUMBER(Charges!M50),Charges!M50&gt;=0),Charges!M50="S",Charges!M50="M",Charges!M50="L",Charges!M50="XL"),0,1)+IF(OR(Charges!N50="",AND(ISNUMBER(Charges!N50),Charges!N50&gt;=0),Charges!N50="S",Charges!N50="M",Charges!N50="L",Charges!N50="XL"),0,1)+IF(OR(Charges!O50="",AND(ISNUMBER(Charges!O50),Charges!O50&gt;=0),Charges!O50="S",Charges!O50="M",Charges!O50="L",Charges!O50="XL"),0,1)+IF(OR(Charges!P50="",AND(ISNUMBER(Charges!P50),Charges!P50&gt;=0),Charges!P50="S",Charges!P50="M",Charges!P50="L",Charges!P50="XL"),0,1)+IF(OR(Charges!Q50="",AND(ISNUMBER(Charges!Q50),Charges!Q50&gt;=0),Charges!Q50="S",Charges!Q50="M",Charges!Q50="L",Charges!Q50="XL"),0,1)+IF(OR(Charges!R50="",AND(ISNUMBER(Charges!R50),Charges!R50&gt;=0),Charges!R50="S",Charges!R50="M",Charges!R50="L",Charges!R50="XL"),0,1)</f>
        <v>0</v>
      </c>
      <c r="U50" t="n">
        <f>IF(AND(1&gt;Paramètres!$B$9,Charges!F50&lt;&gt;"",Charges!F50&lt;&gt;0),1,0)+IF(AND(2&gt;Paramètres!$B$9,Charges!G50&lt;&gt;"",Charges!G50&lt;&gt;0),1,0)+IF(AND(3&gt;Paramètres!$B$9,Charges!H50&lt;&gt;"",Charges!H50&lt;&gt;0),1,0)+IF(AND(4&gt;Paramètres!$B$9,Charges!I50&lt;&gt;"",Charges!I50&lt;&gt;0),1,0)+IF(AND(5&gt;Paramètres!$B$9,Charges!J50&lt;&gt;"",Charges!J50&lt;&gt;0),1,0)+IF(AND(6&gt;Paramètres!$B$9,Charges!K50&lt;&gt;"",Charges!K50&lt;&gt;0),1,0)+IF(AND(7&gt;Paramètres!$B$9,Charges!L50&lt;&gt;"",Charges!L50&lt;&gt;0),1,0)+IF(AND(8&gt;Paramètres!$B$9,Charges!M50&lt;&gt;"",Charges!M50&lt;&gt;0),1,0)+IF(AND(9&gt;Paramètres!$B$9,Charges!N50&lt;&gt;"",Charges!N50&lt;&gt;0),1,0)+IF(AND(10&gt;Paramètres!$B$9,Charges!O50&lt;&gt;"",Charges!O50&lt;&gt;0),1,0)+IF(AND(11&gt;Paramètres!$B$9,Charges!P50&lt;&gt;"",Charges!P50&lt;&gt;0),1,0)+IF(AND(12&gt;Paramètres!$B$9,Charges!Q50&lt;&gt;"",Charges!Q50&lt;&gt;0),1,0)+IF(AND(13&gt;Paramètres!$B$9,Charges!R50&lt;&gt;"",Charges!R50&lt;&gt;0),1,0)</f>
        <v>0</v>
      </c>
      <c r="V50" t="n">
        <f>IF(IFERROR(VLOOKUP(A50,'Projets'!$A$8:$Z$67,5,FALSE),"")="Engager",1,0)</f>
        <v>0</v>
      </c>
      <c r="W50" t="n">
        <f>IF(IFERROR(VLOOKUP(A50,'Projets'!$A$8:$Z$67,6,FALSE),"")="Engager",1,0)</f>
        <v>0</v>
      </c>
      <c r="X50" t="n">
        <f>E50*S50</f>
        <v>0</v>
      </c>
      <c r="Y50" t="n">
        <f>F50*S50</f>
        <v>0</v>
      </c>
      <c r="Z50" t="n">
        <f>G50*S50</f>
        <v>0</v>
      </c>
      <c r="AA50" t="n">
        <f>H50*S50</f>
        <v>0</v>
      </c>
      <c r="AB50" t="n">
        <f>I50*S50</f>
        <v>0</v>
      </c>
      <c r="AC50" t="n">
        <f>J50*S50</f>
        <v>0</v>
      </c>
      <c r="AD50" t="n">
        <f>K50*S50</f>
        <v>0</v>
      </c>
      <c r="AE50" t="n">
        <f>L50*S50</f>
        <v>0</v>
      </c>
      <c r="AF50" t="n">
        <f>M50*S50</f>
        <v>0</v>
      </c>
      <c r="AG50" t="n">
        <f>N50*S50</f>
        <v>0</v>
      </c>
      <c r="AH50" t="n">
        <f>O50*S50</f>
        <v>0</v>
      </c>
      <c r="AI50" t="n">
        <f>P50*S50</f>
        <v>0</v>
      </c>
      <c r="AJ50" t="n">
        <f>Q50*S50</f>
        <v>0</v>
      </c>
      <c r="AK50" t="n">
        <f>E50*V50</f>
        <v>0</v>
      </c>
      <c r="AL50" t="n">
        <f>F50*V50</f>
        <v>0</v>
      </c>
      <c r="AM50" t="n">
        <f>G50*V50</f>
        <v>0</v>
      </c>
      <c r="AN50" t="n">
        <f>H50*V50</f>
        <v>0</v>
      </c>
      <c r="AO50" t="n">
        <f>I50*V50</f>
        <v>0</v>
      </c>
      <c r="AP50" t="n">
        <f>J50*V50</f>
        <v>0</v>
      </c>
      <c r="AQ50" t="n">
        <f>K50*V50</f>
        <v>0</v>
      </c>
      <c r="AR50" t="n">
        <f>L50*V50</f>
        <v>0</v>
      </c>
      <c r="AS50" t="n">
        <f>M50*V50</f>
        <v>0</v>
      </c>
      <c r="AT50" t="n">
        <f>N50*V50</f>
        <v>0</v>
      </c>
      <c r="AU50" t="n">
        <f>O50*V50</f>
        <v>0</v>
      </c>
      <c r="AV50" t="n">
        <f>P50*V50</f>
        <v>0</v>
      </c>
      <c r="AW50" t="n">
        <f>Q50*V50</f>
        <v>0</v>
      </c>
      <c r="AX50" t="n">
        <f>E50*W50</f>
        <v>0</v>
      </c>
      <c r="AY50" t="n">
        <f>F50*W50</f>
        <v>0</v>
      </c>
      <c r="AZ50" t="n">
        <f>G50*W50</f>
        <v>0</v>
      </c>
      <c r="BA50" t="n">
        <f>H50*W50</f>
        <v>0</v>
      </c>
      <c r="BB50" t="n">
        <f>I50*W50</f>
        <v>0</v>
      </c>
      <c r="BC50" t="n">
        <f>J50*W50</f>
        <v>0</v>
      </c>
      <c r="BD50" t="n">
        <f>K50*W50</f>
        <v>0</v>
      </c>
      <c r="BE50" t="n">
        <f>L50*W50</f>
        <v>0</v>
      </c>
      <c r="BF50" t="n">
        <f>M50*W50</f>
        <v>0</v>
      </c>
      <c r="BG50" t="n">
        <f>N50*W50</f>
        <v>0</v>
      </c>
      <c r="BH50" t="n">
        <f>O50*W50</f>
        <v>0</v>
      </c>
      <c r="BI50" t="n">
        <f>P50*W50</f>
        <v>0</v>
      </c>
      <c r="BJ50" t="n">
        <f>Q50*W50</f>
        <v>0</v>
      </c>
      <c r="DM50" t="str">
        <f>IF(AND(Projets!A50&lt;&gt;"",Projets!G50="Engager"),DM49&amp;IF(DM49="","",", ")&amp;Projets!B50,DM49)</f>
        <v/>
      </c>
      <c r="DN50" t="str">
        <f>IF(AND(Projets!A50&lt;&gt;"",Projets!G50="Reporter"),DN49&amp;IF(DN49="","",", ")&amp;Projets!B50,DN49)</f>
        <v/>
      </c>
    </row>
    <row r="51">
      <c r="A51" t="n">
        <f>Charges!A51</f>
        <v>0</v>
      </c>
      <c r="B51" t="n">
        <f>Charges!C51</f>
        <v>0</v>
      </c>
      <c r="C51" t="str">
        <f>Charges!D51</f>
        <v/>
      </c>
      <c r="E51" t="n">
        <f>IF(1&lt;=Paramètres!$B$9,MAX(0,IFERROR(N(IF(ISNUMBER(Charges!F51),MAX(0,Charges!F51),IFERROR(VLOOKUP(Charges!F51,Paramètres!$A$15:$B$18,2,FALSE),0))),0)),0)</f>
        <v>0</v>
      </c>
      <c r="F51" t="n">
        <f>IF(2&lt;=Paramètres!$B$9,MAX(0,IFERROR(N(IF(ISNUMBER(Charges!G51),MAX(0,Charges!G51),IFERROR(VLOOKUP(Charges!G51,Paramètres!$A$15:$B$18,2,FALSE),0))),0)),0)</f>
        <v>0</v>
      </c>
      <c r="G51" t="n">
        <f>IF(3&lt;=Paramètres!$B$9,MAX(0,IFERROR(N(IF(ISNUMBER(Charges!H51),MAX(0,Charges!H51),IFERROR(VLOOKUP(Charges!H51,Paramètres!$A$15:$B$18,2,FALSE),0))),0)),0)</f>
        <v>0</v>
      </c>
      <c r="H51" t="n">
        <f>IF(4&lt;=Paramètres!$B$9,MAX(0,IFERROR(N(IF(ISNUMBER(Charges!I51),MAX(0,Charges!I51),IFERROR(VLOOKUP(Charges!I51,Paramètres!$A$15:$B$18,2,FALSE),0))),0)),0)</f>
        <v>0</v>
      </c>
      <c r="I51" t="n">
        <f>IF(5&lt;=Paramètres!$B$9,MAX(0,IFERROR(N(IF(ISNUMBER(Charges!J51),MAX(0,Charges!J51),IFERROR(VLOOKUP(Charges!J51,Paramètres!$A$15:$B$18,2,FALSE),0))),0)),0)</f>
        <v>0</v>
      </c>
      <c r="J51" t="n">
        <f>IF(6&lt;=Paramètres!$B$9,MAX(0,IFERROR(N(IF(ISNUMBER(Charges!K51),MAX(0,Charges!K51),IFERROR(VLOOKUP(Charges!K51,Paramètres!$A$15:$B$18,2,FALSE),0))),0)),0)</f>
        <v>0</v>
      </c>
      <c r="K51" t="n">
        <f>IF(7&lt;=Paramètres!$B$9,MAX(0,IFERROR(N(IF(ISNUMBER(Charges!L51),MAX(0,Charges!L51),IFERROR(VLOOKUP(Charges!L51,Paramètres!$A$15:$B$18,2,FALSE),0))),0)),0)</f>
        <v>0</v>
      </c>
      <c r="L51" t="n">
        <f>IF(8&lt;=Paramètres!$B$9,MAX(0,IFERROR(N(IF(ISNUMBER(Charges!M51),MAX(0,Charges!M51),IFERROR(VLOOKUP(Charges!M51,Paramètres!$A$15:$B$18,2,FALSE),0))),0)),0)</f>
        <v>0</v>
      </c>
      <c r="M51" t="n">
        <f>IF(9&lt;=Paramètres!$B$9,MAX(0,IFERROR(N(IF(ISNUMBER(Charges!N51),MAX(0,Charges!N51),IFERROR(VLOOKUP(Charges!N51,Paramètres!$A$15:$B$18,2,FALSE),0))),0)),0)</f>
        <v>0</v>
      </c>
      <c r="N51" t="n">
        <f>IF(10&lt;=Paramètres!$B$9,MAX(0,IFERROR(N(IF(ISNUMBER(Charges!O51),MAX(0,Charges!O51),IFERROR(VLOOKUP(Charges!O51,Paramètres!$A$15:$B$18,2,FALSE),0))),0)),0)</f>
        <v>0</v>
      </c>
      <c r="O51" t="n">
        <f>IF(11&lt;=Paramètres!$B$9,MAX(0,IFERROR(N(IF(ISNUMBER(Charges!P51),MAX(0,Charges!P51),IFERROR(VLOOKUP(Charges!P51,Paramètres!$A$15:$B$18,2,FALSE),0))),0)),0)</f>
        <v>0</v>
      </c>
      <c r="P51" t="n">
        <f>IF(12&lt;=Paramètres!$B$9,MAX(0,IFERROR(N(IF(ISNUMBER(Charges!Q51),MAX(0,Charges!Q51),IFERROR(VLOOKUP(Charges!Q51,Paramètres!$A$15:$B$18,2,FALSE),0))),0)),0)</f>
        <v>0</v>
      </c>
      <c r="Q51" t="n">
        <f>IF(13&lt;=Paramètres!$B$9,MAX(0,IFERROR(N(IF(ISNUMBER(Charges!R51),MAX(0,Charges!R51),IFERROR(VLOOKUP(Charges!R51,Paramètres!$A$15:$B$18,2,FALSE),0))),0)),0)</f>
        <v>0</v>
      </c>
      <c r="R51" t="n">
        <f>SUM(E51:Q51)</f>
        <v>0</v>
      </c>
      <c r="S51" t="n">
        <f>IF(IFERROR(VLOOKUP(A51,'Projets'!$A$8:$Z$67,7,FALSE),"")="Engager",1,0)</f>
        <v>0</v>
      </c>
      <c r="T51" t="n">
        <f>IF(OR(Charges!F51="",AND(ISNUMBER(Charges!F51),Charges!F51&gt;=0),Charges!F51="S",Charges!F51="M",Charges!F51="L",Charges!F51="XL"),0,1)+IF(OR(Charges!G51="",AND(ISNUMBER(Charges!G51),Charges!G51&gt;=0),Charges!G51="S",Charges!G51="M",Charges!G51="L",Charges!G51="XL"),0,1)+IF(OR(Charges!H51="",AND(ISNUMBER(Charges!H51),Charges!H51&gt;=0),Charges!H51="S",Charges!H51="M",Charges!H51="L",Charges!H51="XL"),0,1)+IF(OR(Charges!I51="",AND(ISNUMBER(Charges!I51),Charges!I51&gt;=0),Charges!I51="S",Charges!I51="M",Charges!I51="L",Charges!I51="XL"),0,1)+IF(OR(Charges!J51="",AND(ISNUMBER(Charges!J51),Charges!J51&gt;=0),Charges!J51="S",Charges!J51="M",Charges!J51="L",Charges!J51="XL"),0,1)+IF(OR(Charges!K51="",AND(ISNUMBER(Charges!K51),Charges!K51&gt;=0),Charges!K51="S",Charges!K51="M",Charges!K51="L",Charges!K51="XL"),0,1)+IF(OR(Charges!L51="",AND(ISNUMBER(Charges!L51),Charges!L51&gt;=0),Charges!L51="S",Charges!L51="M",Charges!L51="L",Charges!L51="XL"),0,1)+IF(OR(Charges!M51="",AND(ISNUMBER(Charges!M51),Charges!M51&gt;=0),Charges!M51="S",Charges!M51="M",Charges!M51="L",Charges!M51="XL"),0,1)+IF(OR(Charges!N51="",AND(ISNUMBER(Charges!N51),Charges!N51&gt;=0),Charges!N51="S",Charges!N51="M",Charges!N51="L",Charges!N51="XL"),0,1)+IF(OR(Charges!O51="",AND(ISNUMBER(Charges!O51),Charges!O51&gt;=0),Charges!O51="S",Charges!O51="M",Charges!O51="L",Charges!O51="XL"),0,1)+IF(OR(Charges!P51="",AND(ISNUMBER(Charges!P51),Charges!P51&gt;=0),Charges!P51="S",Charges!P51="M",Charges!P51="L",Charges!P51="XL"),0,1)+IF(OR(Charges!Q51="",AND(ISNUMBER(Charges!Q51),Charges!Q51&gt;=0),Charges!Q51="S",Charges!Q51="M",Charges!Q51="L",Charges!Q51="XL"),0,1)+IF(OR(Charges!R51="",AND(ISNUMBER(Charges!R51),Charges!R51&gt;=0),Charges!R51="S",Charges!R51="M",Charges!R51="L",Charges!R51="XL"),0,1)</f>
        <v>0</v>
      </c>
      <c r="U51" t="n">
        <f>IF(AND(1&gt;Paramètres!$B$9,Charges!F51&lt;&gt;"",Charges!F51&lt;&gt;0),1,0)+IF(AND(2&gt;Paramètres!$B$9,Charges!G51&lt;&gt;"",Charges!G51&lt;&gt;0),1,0)+IF(AND(3&gt;Paramètres!$B$9,Charges!H51&lt;&gt;"",Charges!H51&lt;&gt;0),1,0)+IF(AND(4&gt;Paramètres!$B$9,Charges!I51&lt;&gt;"",Charges!I51&lt;&gt;0),1,0)+IF(AND(5&gt;Paramètres!$B$9,Charges!J51&lt;&gt;"",Charges!J51&lt;&gt;0),1,0)+IF(AND(6&gt;Paramètres!$B$9,Charges!K51&lt;&gt;"",Charges!K51&lt;&gt;0),1,0)+IF(AND(7&gt;Paramètres!$B$9,Charges!L51&lt;&gt;"",Charges!L51&lt;&gt;0),1,0)+IF(AND(8&gt;Paramètres!$B$9,Charges!M51&lt;&gt;"",Charges!M51&lt;&gt;0),1,0)+IF(AND(9&gt;Paramètres!$B$9,Charges!N51&lt;&gt;"",Charges!N51&lt;&gt;0),1,0)+IF(AND(10&gt;Paramètres!$B$9,Charges!O51&lt;&gt;"",Charges!O51&lt;&gt;0),1,0)+IF(AND(11&gt;Paramètres!$B$9,Charges!P51&lt;&gt;"",Charges!P51&lt;&gt;0),1,0)+IF(AND(12&gt;Paramètres!$B$9,Charges!Q51&lt;&gt;"",Charges!Q51&lt;&gt;0),1,0)+IF(AND(13&gt;Paramètres!$B$9,Charges!R51&lt;&gt;"",Charges!R51&lt;&gt;0),1,0)</f>
        <v>0</v>
      </c>
      <c r="V51" t="n">
        <f>IF(IFERROR(VLOOKUP(A51,'Projets'!$A$8:$Z$67,5,FALSE),"")="Engager",1,0)</f>
        <v>0</v>
      </c>
      <c r="W51" t="n">
        <f>IF(IFERROR(VLOOKUP(A51,'Projets'!$A$8:$Z$67,6,FALSE),"")="Engager",1,0)</f>
        <v>0</v>
      </c>
      <c r="X51" t="n">
        <f>E51*S51</f>
        <v>0</v>
      </c>
      <c r="Y51" t="n">
        <f>F51*S51</f>
        <v>0</v>
      </c>
      <c r="Z51" t="n">
        <f>G51*S51</f>
        <v>0</v>
      </c>
      <c r="AA51" t="n">
        <f>H51*S51</f>
        <v>0</v>
      </c>
      <c r="AB51" t="n">
        <f>I51*S51</f>
        <v>0</v>
      </c>
      <c r="AC51" t="n">
        <f>J51*S51</f>
        <v>0</v>
      </c>
      <c r="AD51" t="n">
        <f>K51*S51</f>
        <v>0</v>
      </c>
      <c r="AE51" t="n">
        <f>L51*S51</f>
        <v>0</v>
      </c>
      <c r="AF51" t="n">
        <f>M51*S51</f>
        <v>0</v>
      </c>
      <c r="AG51" t="n">
        <f>N51*S51</f>
        <v>0</v>
      </c>
      <c r="AH51" t="n">
        <f>O51*S51</f>
        <v>0</v>
      </c>
      <c r="AI51" t="n">
        <f>P51*S51</f>
        <v>0</v>
      </c>
      <c r="AJ51" t="n">
        <f>Q51*S51</f>
        <v>0</v>
      </c>
      <c r="AK51" t="n">
        <f>E51*V51</f>
        <v>0</v>
      </c>
      <c r="AL51" t="n">
        <f>F51*V51</f>
        <v>0</v>
      </c>
      <c r="AM51" t="n">
        <f>G51*V51</f>
        <v>0</v>
      </c>
      <c r="AN51" t="n">
        <f>H51*V51</f>
        <v>0</v>
      </c>
      <c r="AO51" t="n">
        <f>I51*V51</f>
        <v>0</v>
      </c>
      <c r="AP51" t="n">
        <f>J51*V51</f>
        <v>0</v>
      </c>
      <c r="AQ51" t="n">
        <f>K51*V51</f>
        <v>0</v>
      </c>
      <c r="AR51" t="n">
        <f>L51*V51</f>
        <v>0</v>
      </c>
      <c r="AS51" t="n">
        <f>M51*V51</f>
        <v>0</v>
      </c>
      <c r="AT51" t="n">
        <f>N51*V51</f>
        <v>0</v>
      </c>
      <c r="AU51" t="n">
        <f>O51*V51</f>
        <v>0</v>
      </c>
      <c r="AV51" t="n">
        <f>P51*V51</f>
        <v>0</v>
      </c>
      <c r="AW51" t="n">
        <f>Q51*V51</f>
        <v>0</v>
      </c>
      <c r="AX51" t="n">
        <f>E51*W51</f>
        <v>0</v>
      </c>
      <c r="AY51" t="n">
        <f>F51*W51</f>
        <v>0</v>
      </c>
      <c r="AZ51" t="n">
        <f>G51*W51</f>
        <v>0</v>
      </c>
      <c r="BA51" t="n">
        <f>H51*W51</f>
        <v>0</v>
      </c>
      <c r="BB51" t="n">
        <f>I51*W51</f>
        <v>0</v>
      </c>
      <c r="BC51" t="n">
        <f>J51*W51</f>
        <v>0</v>
      </c>
      <c r="BD51" t="n">
        <f>K51*W51</f>
        <v>0</v>
      </c>
      <c r="BE51" t="n">
        <f>L51*W51</f>
        <v>0</v>
      </c>
      <c r="BF51" t="n">
        <f>M51*W51</f>
        <v>0</v>
      </c>
      <c r="BG51" t="n">
        <f>N51*W51</f>
        <v>0</v>
      </c>
      <c r="BH51" t="n">
        <f>O51*W51</f>
        <v>0</v>
      </c>
      <c r="BI51" t="n">
        <f>P51*W51</f>
        <v>0</v>
      </c>
      <c r="BJ51" t="n">
        <f>Q51*W51</f>
        <v>0</v>
      </c>
      <c r="DM51" t="str">
        <f>IF(AND(Projets!A51&lt;&gt;"",Projets!G51="Engager"),DM50&amp;IF(DM50="","",", ")&amp;Projets!B51,DM50)</f>
        <v/>
      </c>
      <c r="DN51" t="str">
        <f>IF(AND(Projets!A51&lt;&gt;"",Projets!G51="Reporter"),DN50&amp;IF(DN50="","",", ")&amp;Projets!B51,DN50)</f>
        <v/>
      </c>
    </row>
    <row r="52">
      <c r="A52" t="n">
        <f>Charges!A52</f>
        <v>0</v>
      </c>
      <c r="B52" t="n">
        <f>Charges!C52</f>
        <v>0</v>
      </c>
      <c r="C52" t="str">
        <f>Charges!D52</f>
        <v/>
      </c>
      <c r="E52" t="n">
        <f>IF(1&lt;=Paramètres!$B$9,MAX(0,IFERROR(N(IF(ISNUMBER(Charges!F52),MAX(0,Charges!F52),IFERROR(VLOOKUP(Charges!F52,Paramètres!$A$15:$B$18,2,FALSE),0))),0)),0)</f>
        <v>0</v>
      </c>
      <c r="F52" t="n">
        <f>IF(2&lt;=Paramètres!$B$9,MAX(0,IFERROR(N(IF(ISNUMBER(Charges!G52),MAX(0,Charges!G52),IFERROR(VLOOKUP(Charges!G52,Paramètres!$A$15:$B$18,2,FALSE),0))),0)),0)</f>
        <v>0</v>
      </c>
      <c r="G52" t="n">
        <f>IF(3&lt;=Paramètres!$B$9,MAX(0,IFERROR(N(IF(ISNUMBER(Charges!H52),MAX(0,Charges!H52),IFERROR(VLOOKUP(Charges!H52,Paramètres!$A$15:$B$18,2,FALSE),0))),0)),0)</f>
        <v>0</v>
      </c>
      <c r="H52" t="n">
        <f>IF(4&lt;=Paramètres!$B$9,MAX(0,IFERROR(N(IF(ISNUMBER(Charges!I52),MAX(0,Charges!I52),IFERROR(VLOOKUP(Charges!I52,Paramètres!$A$15:$B$18,2,FALSE),0))),0)),0)</f>
        <v>0</v>
      </c>
      <c r="I52" t="n">
        <f>IF(5&lt;=Paramètres!$B$9,MAX(0,IFERROR(N(IF(ISNUMBER(Charges!J52),MAX(0,Charges!J52),IFERROR(VLOOKUP(Charges!J52,Paramètres!$A$15:$B$18,2,FALSE),0))),0)),0)</f>
        <v>0</v>
      </c>
      <c r="J52" t="n">
        <f>IF(6&lt;=Paramètres!$B$9,MAX(0,IFERROR(N(IF(ISNUMBER(Charges!K52),MAX(0,Charges!K52),IFERROR(VLOOKUP(Charges!K52,Paramètres!$A$15:$B$18,2,FALSE),0))),0)),0)</f>
        <v>0</v>
      </c>
      <c r="K52" t="n">
        <f>IF(7&lt;=Paramètres!$B$9,MAX(0,IFERROR(N(IF(ISNUMBER(Charges!L52),MAX(0,Charges!L52),IFERROR(VLOOKUP(Charges!L52,Paramètres!$A$15:$B$18,2,FALSE),0))),0)),0)</f>
        <v>0</v>
      </c>
      <c r="L52" t="n">
        <f>IF(8&lt;=Paramètres!$B$9,MAX(0,IFERROR(N(IF(ISNUMBER(Charges!M52),MAX(0,Charges!M52),IFERROR(VLOOKUP(Charges!M52,Paramètres!$A$15:$B$18,2,FALSE),0))),0)),0)</f>
        <v>0</v>
      </c>
      <c r="M52" t="n">
        <f>IF(9&lt;=Paramètres!$B$9,MAX(0,IFERROR(N(IF(ISNUMBER(Charges!N52),MAX(0,Charges!N52),IFERROR(VLOOKUP(Charges!N52,Paramètres!$A$15:$B$18,2,FALSE),0))),0)),0)</f>
        <v>0</v>
      </c>
      <c r="N52" t="n">
        <f>IF(10&lt;=Paramètres!$B$9,MAX(0,IFERROR(N(IF(ISNUMBER(Charges!O52),MAX(0,Charges!O52),IFERROR(VLOOKUP(Charges!O52,Paramètres!$A$15:$B$18,2,FALSE),0))),0)),0)</f>
        <v>0</v>
      </c>
      <c r="O52" t="n">
        <f>IF(11&lt;=Paramètres!$B$9,MAX(0,IFERROR(N(IF(ISNUMBER(Charges!P52),MAX(0,Charges!P52),IFERROR(VLOOKUP(Charges!P52,Paramètres!$A$15:$B$18,2,FALSE),0))),0)),0)</f>
        <v>0</v>
      </c>
      <c r="P52" t="n">
        <f>IF(12&lt;=Paramètres!$B$9,MAX(0,IFERROR(N(IF(ISNUMBER(Charges!Q52),MAX(0,Charges!Q52),IFERROR(VLOOKUP(Charges!Q52,Paramètres!$A$15:$B$18,2,FALSE),0))),0)),0)</f>
        <v>0</v>
      </c>
      <c r="Q52" t="n">
        <f>IF(13&lt;=Paramètres!$B$9,MAX(0,IFERROR(N(IF(ISNUMBER(Charges!R52),MAX(0,Charges!R52),IFERROR(VLOOKUP(Charges!R52,Paramètres!$A$15:$B$18,2,FALSE),0))),0)),0)</f>
        <v>0</v>
      </c>
      <c r="R52" t="n">
        <f>SUM(E52:Q52)</f>
        <v>0</v>
      </c>
      <c r="S52" t="n">
        <f>IF(IFERROR(VLOOKUP(A52,'Projets'!$A$8:$Z$67,7,FALSE),"")="Engager",1,0)</f>
        <v>0</v>
      </c>
      <c r="T52" t="n">
        <f>IF(OR(Charges!F52="",AND(ISNUMBER(Charges!F52),Charges!F52&gt;=0),Charges!F52="S",Charges!F52="M",Charges!F52="L",Charges!F52="XL"),0,1)+IF(OR(Charges!G52="",AND(ISNUMBER(Charges!G52),Charges!G52&gt;=0),Charges!G52="S",Charges!G52="M",Charges!G52="L",Charges!G52="XL"),0,1)+IF(OR(Charges!H52="",AND(ISNUMBER(Charges!H52),Charges!H52&gt;=0),Charges!H52="S",Charges!H52="M",Charges!H52="L",Charges!H52="XL"),0,1)+IF(OR(Charges!I52="",AND(ISNUMBER(Charges!I52),Charges!I52&gt;=0),Charges!I52="S",Charges!I52="M",Charges!I52="L",Charges!I52="XL"),0,1)+IF(OR(Charges!J52="",AND(ISNUMBER(Charges!J52),Charges!J52&gt;=0),Charges!J52="S",Charges!J52="M",Charges!J52="L",Charges!J52="XL"),0,1)+IF(OR(Charges!K52="",AND(ISNUMBER(Charges!K52),Charges!K52&gt;=0),Charges!K52="S",Charges!K52="M",Charges!K52="L",Charges!K52="XL"),0,1)+IF(OR(Charges!L52="",AND(ISNUMBER(Charges!L52),Charges!L52&gt;=0),Charges!L52="S",Charges!L52="M",Charges!L52="L",Charges!L52="XL"),0,1)+IF(OR(Charges!M52="",AND(ISNUMBER(Charges!M52),Charges!M52&gt;=0),Charges!M52="S",Charges!M52="M",Charges!M52="L",Charges!M52="XL"),0,1)+IF(OR(Charges!N52="",AND(ISNUMBER(Charges!N52),Charges!N52&gt;=0),Charges!N52="S",Charges!N52="M",Charges!N52="L",Charges!N52="XL"),0,1)+IF(OR(Charges!O52="",AND(ISNUMBER(Charges!O52),Charges!O52&gt;=0),Charges!O52="S",Charges!O52="M",Charges!O52="L",Charges!O52="XL"),0,1)+IF(OR(Charges!P52="",AND(ISNUMBER(Charges!P52),Charges!P52&gt;=0),Charges!P52="S",Charges!P52="M",Charges!P52="L",Charges!P52="XL"),0,1)+IF(OR(Charges!Q52="",AND(ISNUMBER(Charges!Q52),Charges!Q52&gt;=0),Charges!Q52="S",Charges!Q52="M",Charges!Q52="L",Charges!Q52="XL"),0,1)+IF(OR(Charges!R52="",AND(ISNUMBER(Charges!R52),Charges!R52&gt;=0),Charges!R52="S",Charges!R52="M",Charges!R52="L",Charges!R52="XL"),0,1)</f>
        <v>0</v>
      </c>
      <c r="U52" t="n">
        <f>IF(AND(1&gt;Paramètres!$B$9,Charges!F52&lt;&gt;"",Charges!F52&lt;&gt;0),1,0)+IF(AND(2&gt;Paramètres!$B$9,Charges!G52&lt;&gt;"",Charges!G52&lt;&gt;0),1,0)+IF(AND(3&gt;Paramètres!$B$9,Charges!H52&lt;&gt;"",Charges!H52&lt;&gt;0),1,0)+IF(AND(4&gt;Paramètres!$B$9,Charges!I52&lt;&gt;"",Charges!I52&lt;&gt;0),1,0)+IF(AND(5&gt;Paramètres!$B$9,Charges!J52&lt;&gt;"",Charges!J52&lt;&gt;0),1,0)+IF(AND(6&gt;Paramètres!$B$9,Charges!K52&lt;&gt;"",Charges!K52&lt;&gt;0),1,0)+IF(AND(7&gt;Paramètres!$B$9,Charges!L52&lt;&gt;"",Charges!L52&lt;&gt;0),1,0)+IF(AND(8&gt;Paramètres!$B$9,Charges!M52&lt;&gt;"",Charges!M52&lt;&gt;0),1,0)+IF(AND(9&gt;Paramètres!$B$9,Charges!N52&lt;&gt;"",Charges!N52&lt;&gt;0),1,0)+IF(AND(10&gt;Paramètres!$B$9,Charges!O52&lt;&gt;"",Charges!O52&lt;&gt;0),1,0)+IF(AND(11&gt;Paramètres!$B$9,Charges!P52&lt;&gt;"",Charges!P52&lt;&gt;0),1,0)+IF(AND(12&gt;Paramètres!$B$9,Charges!Q52&lt;&gt;"",Charges!Q52&lt;&gt;0),1,0)+IF(AND(13&gt;Paramètres!$B$9,Charges!R52&lt;&gt;"",Charges!R52&lt;&gt;0),1,0)</f>
        <v>0</v>
      </c>
      <c r="V52" t="n">
        <f>IF(IFERROR(VLOOKUP(A52,'Projets'!$A$8:$Z$67,5,FALSE),"")="Engager",1,0)</f>
        <v>0</v>
      </c>
      <c r="W52" t="n">
        <f>IF(IFERROR(VLOOKUP(A52,'Projets'!$A$8:$Z$67,6,FALSE),"")="Engager",1,0)</f>
        <v>0</v>
      </c>
      <c r="X52" t="n">
        <f>E52*S52</f>
        <v>0</v>
      </c>
      <c r="Y52" t="n">
        <f>F52*S52</f>
        <v>0</v>
      </c>
      <c r="Z52" t="n">
        <f>G52*S52</f>
        <v>0</v>
      </c>
      <c r="AA52" t="n">
        <f>H52*S52</f>
        <v>0</v>
      </c>
      <c r="AB52" t="n">
        <f>I52*S52</f>
        <v>0</v>
      </c>
      <c r="AC52" t="n">
        <f>J52*S52</f>
        <v>0</v>
      </c>
      <c r="AD52" t="n">
        <f>K52*S52</f>
        <v>0</v>
      </c>
      <c r="AE52" t="n">
        <f>L52*S52</f>
        <v>0</v>
      </c>
      <c r="AF52" t="n">
        <f>M52*S52</f>
        <v>0</v>
      </c>
      <c r="AG52" t="n">
        <f>N52*S52</f>
        <v>0</v>
      </c>
      <c r="AH52" t="n">
        <f>O52*S52</f>
        <v>0</v>
      </c>
      <c r="AI52" t="n">
        <f>P52*S52</f>
        <v>0</v>
      </c>
      <c r="AJ52" t="n">
        <f>Q52*S52</f>
        <v>0</v>
      </c>
      <c r="AK52" t="n">
        <f>E52*V52</f>
        <v>0</v>
      </c>
      <c r="AL52" t="n">
        <f>F52*V52</f>
        <v>0</v>
      </c>
      <c r="AM52" t="n">
        <f>G52*V52</f>
        <v>0</v>
      </c>
      <c r="AN52" t="n">
        <f>H52*V52</f>
        <v>0</v>
      </c>
      <c r="AO52" t="n">
        <f>I52*V52</f>
        <v>0</v>
      </c>
      <c r="AP52" t="n">
        <f>J52*V52</f>
        <v>0</v>
      </c>
      <c r="AQ52" t="n">
        <f>K52*V52</f>
        <v>0</v>
      </c>
      <c r="AR52" t="n">
        <f>L52*V52</f>
        <v>0</v>
      </c>
      <c r="AS52" t="n">
        <f>M52*V52</f>
        <v>0</v>
      </c>
      <c r="AT52" t="n">
        <f>N52*V52</f>
        <v>0</v>
      </c>
      <c r="AU52" t="n">
        <f>O52*V52</f>
        <v>0</v>
      </c>
      <c r="AV52" t="n">
        <f>P52*V52</f>
        <v>0</v>
      </c>
      <c r="AW52" t="n">
        <f>Q52*V52</f>
        <v>0</v>
      </c>
      <c r="AX52" t="n">
        <f>E52*W52</f>
        <v>0</v>
      </c>
      <c r="AY52" t="n">
        <f>F52*W52</f>
        <v>0</v>
      </c>
      <c r="AZ52" t="n">
        <f>G52*W52</f>
        <v>0</v>
      </c>
      <c r="BA52" t="n">
        <f>H52*W52</f>
        <v>0</v>
      </c>
      <c r="BB52" t="n">
        <f>I52*W52</f>
        <v>0</v>
      </c>
      <c r="BC52" t="n">
        <f>J52*W52</f>
        <v>0</v>
      </c>
      <c r="BD52" t="n">
        <f>K52*W52</f>
        <v>0</v>
      </c>
      <c r="BE52" t="n">
        <f>L52*W52</f>
        <v>0</v>
      </c>
      <c r="BF52" t="n">
        <f>M52*W52</f>
        <v>0</v>
      </c>
      <c r="BG52" t="n">
        <f>N52*W52</f>
        <v>0</v>
      </c>
      <c r="BH52" t="n">
        <f>O52*W52</f>
        <v>0</v>
      </c>
      <c r="BI52" t="n">
        <f>P52*W52</f>
        <v>0</v>
      </c>
      <c r="BJ52" t="n">
        <f>Q52*W52</f>
        <v>0</v>
      </c>
      <c r="DM52" t="str">
        <f>IF(AND(Projets!A52&lt;&gt;"",Projets!G52="Engager"),DM51&amp;IF(DM51="","",", ")&amp;Projets!B52,DM51)</f>
        <v/>
      </c>
      <c r="DN52" t="str">
        <f>IF(AND(Projets!A52&lt;&gt;"",Projets!G52="Reporter"),DN51&amp;IF(DN51="","",", ")&amp;Projets!B52,DN51)</f>
        <v/>
      </c>
    </row>
    <row r="53">
      <c r="A53" t="n">
        <f>Charges!A53</f>
        <v>0</v>
      </c>
      <c r="B53" t="n">
        <f>Charges!C53</f>
        <v>0</v>
      </c>
      <c r="C53" t="str">
        <f>Charges!D53</f>
        <v/>
      </c>
      <c r="E53" t="n">
        <f>IF(1&lt;=Paramètres!$B$9,MAX(0,IFERROR(N(IF(ISNUMBER(Charges!F53),MAX(0,Charges!F53),IFERROR(VLOOKUP(Charges!F53,Paramètres!$A$15:$B$18,2,FALSE),0))),0)),0)</f>
        <v>0</v>
      </c>
      <c r="F53" t="n">
        <f>IF(2&lt;=Paramètres!$B$9,MAX(0,IFERROR(N(IF(ISNUMBER(Charges!G53),MAX(0,Charges!G53),IFERROR(VLOOKUP(Charges!G53,Paramètres!$A$15:$B$18,2,FALSE),0))),0)),0)</f>
        <v>0</v>
      </c>
      <c r="G53" t="n">
        <f>IF(3&lt;=Paramètres!$B$9,MAX(0,IFERROR(N(IF(ISNUMBER(Charges!H53),MAX(0,Charges!H53),IFERROR(VLOOKUP(Charges!H53,Paramètres!$A$15:$B$18,2,FALSE),0))),0)),0)</f>
        <v>0</v>
      </c>
      <c r="H53" t="n">
        <f>IF(4&lt;=Paramètres!$B$9,MAX(0,IFERROR(N(IF(ISNUMBER(Charges!I53),MAX(0,Charges!I53),IFERROR(VLOOKUP(Charges!I53,Paramètres!$A$15:$B$18,2,FALSE),0))),0)),0)</f>
        <v>0</v>
      </c>
      <c r="I53" t="n">
        <f>IF(5&lt;=Paramètres!$B$9,MAX(0,IFERROR(N(IF(ISNUMBER(Charges!J53),MAX(0,Charges!J53),IFERROR(VLOOKUP(Charges!J53,Paramètres!$A$15:$B$18,2,FALSE),0))),0)),0)</f>
        <v>0</v>
      </c>
      <c r="J53" t="n">
        <f>IF(6&lt;=Paramètres!$B$9,MAX(0,IFERROR(N(IF(ISNUMBER(Charges!K53),MAX(0,Charges!K53),IFERROR(VLOOKUP(Charges!K53,Paramètres!$A$15:$B$18,2,FALSE),0))),0)),0)</f>
        <v>0</v>
      </c>
      <c r="K53" t="n">
        <f>IF(7&lt;=Paramètres!$B$9,MAX(0,IFERROR(N(IF(ISNUMBER(Charges!L53),MAX(0,Charges!L53),IFERROR(VLOOKUP(Charges!L53,Paramètres!$A$15:$B$18,2,FALSE),0))),0)),0)</f>
        <v>0</v>
      </c>
      <c r="L53" t="n">
        <f>IF(8&lt;=Paramètres!$B$9,MAX(0,IFERROR(N(IF(ISNUMBER(Charges!M53),MAX(0,Charges!M53),IFERROR(VLOOKUP(Charges!M53,Paramètres!$A$15:$B$18,2,FALSE),0))),0)),0)</f>
        <v>0</v>
      </c>
      <c r="M53" t="n">
        <f>IF(9&lt;=Paramètres!$B$9,MAX(0,IFERROR(N(IF(ISNUMBER(Charges!N53),MAX(0,Charges!N53),IFERROR(VLOOKUP(Charges!N53,Paramètres!$A$15:$B$18,2,FALSE),0))),0)),0)</f>
        <v>0</v>
      </c>
      <c r="N53" t="n">
        <f>IF(10&lt;=Paramètres!$B$9,MAX(0,IFERROR(N(IF(ISNUMBER(Charges!O53),MAX(0,Charges!O53),IFERROR(VLOOKUP(Charges!O53,Paramètres!$A$15:$B$18,2,FALSE),0))),0)),0)</f>
        <v>0</v>
      </c>
      <c r="O53" t="n">
        <f>IF(11&lt;=Paramètres!$B$9,MAX(0,IFERROR(N(IF(ISNUMBER(Charges!P53),MAX(0,Charges!P53),IFERROR(VLOOKUP(Charges!P53,Paramètres!$A$15:$B$18,2,FALSE),0))),0)),0)</f>
        <v>0</v>
      </c>
      <c r="P53" t="n">
        <f>IF(12&lt;=Paramètres!$B$9,MAX(0,IFERROR(N(IF(ISNUMBER(Charges!Q53),MAX(0,Charges!Q53),IFERROR(VLOOKUP(Charges!Q53,Paramètres!$A$15:$B$18,2,FALSE),0))),0)),0)</f>
        <v>0</v>
      </c>
      <c r="Q53" t="n">
        <f>IF(13&lt;=Paramètres!$B$9,MAX(0,IFERROR(N(IF(ISNUMBER(Charges!R53),MAX(0,Charges!R53),IFERROR(VLOOKUP(Charges!R53,Paramètres!$A$15:$B$18,2,FALSE),0))),0)),0)</f>
        <v>0</v>
      </c>
      <c r="R53" t="n">
        <f>SUM(E53:Q53)</f>
        <v>0</v>
      </c>
      <c r="S53" t="n">
        <f>IF(IFERROR(VLOOKUP(A53,'Projets'!$A$8:$Z$67,7,FALSE),"")="Engager",1,0)</f>
        <v>0</v>
      </c>
      <c r="T53" t="n">
        <f>IF(OR(Charges!F53="",AND(ISNUMBER(Charges!F53),Charges!F53&gt;=0),Charges!F53="S",Charges!F53="M",Charges!F53="L",Charges!F53="XL"),0,1)+IF(OR(Charges!G53="",AND(ISNUMBER(Charges!G53),Charges!G53&gt;=0),Charges!G53="S",Charges!G53="M",Charges!G53="L",Charges!G53="XL"),0,1)+IF(OR(Charges!H53="",AND(ISNUMBER(Charges!H53),Charges!H53&gt;=0),Charges!H53="S",Charges!H53="M",Charges!H53="L",Charges!H53="XL"),0,1)+IF(OR(Charges!I53="",AND(ISNUMBER(Charges!I53),Charges!I53&gt;=0),Charges!I53="S",Charges!I53="M",Charges!I53="L",Charges!I53="XL"),0,1)+IF(OR(Charges!J53="",AND(ISNUMBER(Charges!J53),Charges!J53&gt;=0),Charges!J53="S",Charges!J53="M",Charges!J53="L",Charges!J53="XL"),0,1)+IF(OR(Charges!K53="",AND(ISNUMBER(Charges!K53),Charges!K53&gt;=0),Charges!K53="S",Charges!K53="M",Charges!K53="L",Charges!K53="XL"),0,1)+IF(OR(Charges!L53="",AND(ISNUMBER(Charges!L53),Charges!L53&gt;=0),Charges!L53="S",Charges!L53="M",Charges!L53="L",Charges!L53="XL"),0,1)+IF(OR(Charges!M53="",AND(ISNUMBER(Charges!M53),Charges!M53&gt;=0),Charges!M53="S",Charges!M53="M",Charges!M53="L",Charges!M53="XL"),0,1)+IF(OR(Charges!N53="",AND(ISNUMBER(Charges!N53),Charges!N53&gt;=0),Charges!N53="S",Charges!N53="M",Charges!N53="L",Charges!N53="XL"),0,1)+IF(OR(Charges!O53="",AND(ISNUMBER(Charges!O53),Charges!O53&gt;=0),Charges!O53="S",Charges!O53="M",Charges!O53="L",Charges!O53="XL"),0,1)+IF(OR(Charges!P53="",AND(ISNUMBER(Charges!P53),Charges!P53&gt;=0),Charges!P53="S",Charges!P53="M",Charges!P53="L",Charges!P53="XL"),0,1)+IF(OR(Charges!Q53="",AND(ISNUMBER(Charges!Q53),Charges!Q53&gt;=0),Charges!Q53="S",Charges!Q53="M",Charges!Q53="L",Charges!Q53="XL"),0,1)+IF(OR(Charges!R53="",AND(ISNUMBER(Charges!R53),Charges!R53&gt;=0),Charges!R53="S",Charges!R53="M",Charges!R53="L",Charges!R53="XL"),0,1)</f>
        <v>0</v>
      </c>
      <c r="U53" t="n">
        <f>IF(AND(1&gt;Paramètres!$B$9,Charges!F53&lt;&gt;"",Charges!F53&lt;&gt;0),1,0)+IF(AND(2&gt;Paramètres!$B$9,Charges!G53&lt;&gt;"",Charges!G53&lt;&gt;0),1,0)+IF(AND(3&gt;Paramètres!$B$9,Charges!H53&lt;&gt;"",Charges!H53&lt;&gt;0),1,0)+IF(AND(4&gt;Paramètres!$B$9,Charges!I53&lt;&gt;"",Charges!I53&lt;&gt;0),1,0)+IF(AND(5&gt;Paramètres!$B$9,Charges!J53&lt;&gt;"",Charges!J53&lt;&gt;0),1,0)+IF(AND(6&gt;Paramètres!$B$9,Charges!K53&lt;&gt;"",Charges!K53&lt;&gt;0),1,0)+IF(AND(7&gt;Paramètres!$B$9,Charges!L53&lt;&gt;"",Charges!L53&lt;&gt;0),1,0)+IF(AND(8&gt;Paramètres!$B$9,Charges!M53&lt;&gt;"",Charges!M53&lt;&gt;0),1,0)+IF(AND(9&gt;Paramètres!$B$9,Charges!N53&lt;&gt;"",Charges!N53&lt;&gt;0),1,0)+IF(AND(10&gt;Paramètres!$B$9,Charges!O53&lt;&gt;"",Charges!O53&lt;&gt;0),1,0)+IF(AND(11&gt;Paramètres!$B$9,Charges!P53&lt;&gt;"",Charges!P53&lt;&gt;0),1,0)+IF(AND(12&gt;Paramètres!$B$9,Charges!Q53&lt;&gt;"",Charges!Q53&lt;&gt;0),1,0)+IF(AND(13&gt;Paramètres!$B$9,Charges!R53&lt;&gt;"",Charges!R53&lt;&gt;0),1,0)</f>
        <v>0</v>
      </c>
      <c r="V53" t="n">
        <f>IF(IFERROR(VLOOKUP(A53,'Projets'!$A$8:$Z$67,5,FALSE),"")="Engager",1,0)</f>
        <v>0</v>
      </c>
      <c r="W53" t="n">
        <f>IF(IFERROR(VLOOKUP(A53,'Projets'!$A$8:$Z$67,6,FALSE),"")="Engager",1,0)</f>
        <v>0</v>
      </c>
      <c r="X53" t="n">
        <f>E53*S53</f>
        <v>0</v>
      </c>
      <c r="Y53" t="n">
        <f>F53*S53</f>
        <v>0</v>
      </c>
      <c r="Z53" t="n">
        <f>G53*S53</f>
        <v>0</v>
      </c>
      <c r="AA53" t="n">
        <f>H53*S53</f>
        <v>0</v>
      </c>
      <c r="AB53" t="n">
        <f>I53*S53</f>
        <v>0</v>
      </c>
      <c r="AC53" t="n">
        <f>J53*S53</f>
        <v>0</v>
      </c>
      <c r="AD53" t="n">
        <f>K53*S53</f>
        <v>0</v>
      </c>
      <c r="AE53" t="n">
        <f>L53*S53</f>
        <v>0</v>
      </c>
      <c r="AF53" t="n">
        <f>M53*S53</f>
        <v>0</v>
      </c>
      <c r="AG53" t="n">
        <f>N53*S53</f>
        <v>0</v>
      </c>
      <c r="AH53" t="n">
        <f>O53*S53</f>
        <v>0</v>
      </c>
      <c r="AI53" t="n">
        <f>P53*S53</f>
        <v>0</v>
      </c>
      <c r="AJ53" t="n">
        <f>Q53*S53</f>
        <v>0</v>
      </c>
      <c r="AK53" t="n">
        <f>E53*V53</f>
        <v>0</v>
      </c>
      <c r="AL53" t="n">
        <f>F53*V53</f>
        <v>0</v>
      </c>
      <c r="AM53" t="n">
        <f>G53*V53</f>
        <v>0</v>
      </c>
      <c r="AN53" t="n">
        <f>H53*V53</f>
        <v>0</v>
      </c>
      <c r="AO53" t="n">
        <f>I53*V53</f>
        <v>0</v>
      </c>
      <c r="AP53" t="n">
        <f>J53*V53</f>
        <v>0</v>
      </c>
      <c r="AQ53" t="n">
        <f>K53*V53</f>
        <v>0</v>
      </c>
      <c r="AR53" t="n">
        <f>L53*V53</f>
        <v>0</v>
      </c>
      <c r="AS53" t="n">
        <f>M53*V53</f>
        <v>0</v>
      </c>
      <c r="AT53" t="n">
        <f>N53*V53</f>
        <v>0</v>
      </c>
      <c r="AU53" t="n">
        <f>O53*V53</f>
        <v>0</v>
      </c>
      <c r="AV53" t="n">
        <f>P53*V53</f>
        <v>0</v>
      </c>
      <c r="AW53" t="n">
        <f>Q53*V53</f>
        <v>0</v>
      </c>
      <c r="AX53" t="n">
        <f>E53*W53</f>
        <v>0</v>
      </c>
      <c r="AY53" t="n">
        <f>F53*W53</f>
        <v>0</v>
      </c>
      <c r="AZ53" t="n">
        <f>G53*W53</f>
        <v>0</v>
      </c>
      <c r="BA53" t="n">
        <f>H53*W53</f>
        <v>0</v>
      </c>
      <c r="BB53" t="n">
        <f>I53*W53</f>
        <v>0</v>
      </c>
      <c r="BC53" t="n">
        <f>J53*W53</f>
        <v>0</v>
      </c>
      <c r="BD53" t="n">
        <f>K53*W53</f>
        <v>0</v>
      </c>
      <c r="BE53" t="n">
        <f>L53*W53</f>
        <v>0</v>
      </c>
      <c r="BF53" t="n">
        <f>M53*W53</f>
        <v>0</v>
      </c>
      <c r="BG53" t="n">
        <f>N53*W53</f>
        <v>0</v>
      </c>
      <c r="BH53" t="n">
        <f>O53*W53</f>
        <v>0</v>
      </c>
      <c r="BI53" t="n">
        <f>P53*W53</f>
        <v>0</v>
      </c>
      <c r="BJ53" t="n">
        <f>Q53*W53</f>
        <v>0</v>
      </c>
      <c r="DM53" t="str">
        <f>IF(AND(Projets!A53&lt;&gt;"",Projets!G53="Engager"),DM52&amp;IF(DM52="","",", ")&amp;Projets!B53,DM52)</f>
        <v/>
      </c>
      <c r="DN53" t="str">
        <f>IF(AND(Projets!A53&lt;&gt;"",Projets!G53="Reporter"),DN52&amp;IF(DN52="","",", ")&amp;Projets!B53,DN52)</f>
        <v/>
      </c>
    </row>
    <row r="54">
      <c r="A54" t="n">
        <f>Charges!A54</f>
        <v>0</v>
      </c>
      <c r="B54" t="n">
        <f>Charges!C54</f>
        <v>0</v>
      </c>
      <c r="C54" t="str">
        <f>Charges!D54</f>
        <v/>
      </c>
      <c r="E54" t="n">
        <f>IF(1&lt;=Paramètres!$B$9,MAX(0,IFERROR(N(IF(ISNUMBER(Charges!F54),MAX(0,Charges!F54),IFERROR(VLOOKUP(Charges!F54,Paramètres!$A$15:$B$18,2,FALSE),0))),0)),0)</f>
        <v>0</v>
      </c>
      <c r="F54" t="n">
        <f>IF(2&lt;=Paramètres!$B$9,MAX(0,IFERROR(N(IF(ISNUMBER(Charges!G54),MAX(0,Charges!G54),IFERROR(VLOOKUP(Charges!G54,Paramètres!$A$15:$B$18,2,FALSE),0))),0)),0)</f>
        <v>0</v>
      </c>
      <c r="G54" t="n">
        <f>IF(3&lt;=Paramètres!$B$9,MAX(0,IFERROR(N(IF(ISNUMBER(Charges!H54),MAX(0,Charges!H54),IFERROR(VLOOKUP(Charges!H54,Paramètres!$A$15:$B$18,2,FALSE),0))),0)),0)</f>
        <v>0</v>
      </c>
      <c r="H54" t="n">
        <f>IF(4&lt;=Paramètres!$B$9,MAX(0,IFERROR(N(IF(ISNUMBER(Charges!I54),MAX(0,Charges!I54),IFERROR(VLOOKUP(Charges!I54,Paramètres!$A$15:$B$18,2,FALSE),0))),0)),0)</f>
        <v>0</v>
      </c>
      <c r="I54" t="n">
        <f>IF(5&lt;=Paramètres!$B$9,MAX(0,IFERROR(N(IF(ISNUMBER(Charges!J54),MAX(0,Charges!J54),IFERROR(VLOOKUP(Charges!J54,Paramètres!$A$15:$B$18,2,FALSE),0))),0)),0)</f>
        <v>0</v>
      </c>
      <c r="J54" t="n">
        <f>IF(6&lt;=Paramètres!$B$9,MAX(0,IFERROR(N(IF(ISNUMBER(Charges!K54),MAX(0,Charges!K54),IFERROR(VLOOKUP(Charges!K54,Paramètres!$A$15:$B$18,2,FALSE),0))),0)),0)</f>
        <v>0</v>
      </c>
      <c r="K54" t="n">
        <f>IF(7&lt;=Paramètres!$B$9,MAX(0,IFERROR(N(IF(ISNUMBER(Charges!L54),MAX(0,Charges!L54),IFERROR(VLOOKUP(Charges!L54,Paramètres!$A$15:$B$18,2,FALSE),0))),0)),0)</f>
        <v>0</v>
      </c>
      <c r="L54" t="n">
        <f>IF(8&lt;=Paramètres!$B$9,MAX(0,IFERROR(N(IF(ISNUMBER(Charges!M54),MAX(0,Charges!M54),IFERROR(VLOOKUP(Charges!M54,Paramètres!$A$15:$B$18,2,FALSE),0))),0)),0)</f>
        <v>0</v>
      </c>
      <c r="M54" t="n">
        <f>IF(9&lt;=Paramètres!$B$9,MAX(0,IFERROR(N(IF(ISNUMBER(Charges!N54),MAX(0,Charges!N54),IFERROR(VLOOKUP(Charges!N54,Paramètres!$A$15:$B$18,2,FALSE),0))),0)),0)</f>
        <v>0</v>
      </c>
      <c r="N54" t="n">
        <f>IF(10&lt;=Paramètres!$B$9,MAX(0,IFERROR(N(IF(ISNUMBER(Charges!O54),MAX(0,Charges!O54),IFERROR(VLOOKUP(Charges!O54,Paramètres!$A$15:$B$18,2,FALSE),0))),0)),0)</f>
        <v>0</v>
      </c>
      <c r="O54" t="n">
        <f>IF(11&lt;=Paramètres!$B$9,MAX(0,IFERROR(N(IF(ISNUMBER(Charges!P54),MAX(0,Charges!P54),IFERROR(VLOOKUP(Charges!P54,Paramètres!$A$15:$B$18,2,FALSE),0))),0)),0)</f>
        <v>0</v>
      </c>
      <c r="P54" t="n">
        <f>IF(12&lt;=Paramètres!$B$9,MAX(0,IFERROR(N(IF(ISNUMBER(Charges!Q54),MAX(0,Charges!Q54),IFERROR(VLOOKUP(Charges!Q54,Paramètres!$A$15:$B$18,2,FALSE),0))),0)),0)</f>
        <v>0</v>
      </c>
      <c r="Q54" t="n">
        <f>IF(13&lt;=Paramètres!$B$9,MAX(0,IFERROR(N(IF(ISNUMBER(Charges!R54),MAX(0,Charges!R54),IFERROR(VLOOKUP(Charges!R54,Paramètres!$A$15:$B$18,2,FALSE),0))),0)),0)</f>
        <v>0</v>
      </c>
      <c r="R54" t="n">
        <f>SUM(E54:Q54)</f>
        <v>0</v>
      </c>
      <c r="S54" t="n">
        <f>IF(IFERROR(VLOOKUP(A54,'Projets'!$A$8:$Z$67,7,FALSE),"")="Engager",1,0)</f>
        <v>0</v>
      </c>
      <c r="T54" t="n">
        <f>IF(OR(Charges!F54="",AND(ISNUMBER(Charges!F54),Charges!F54&gt;=0),Charges!F54="S",Charges!F54="M",Charges!F54="L",Charges!F54="XL"),0,1)+IF(OR(Charges!G54="",AND(ISNUMBER(Charges!G54),Charges!G54&gt;=0),Charges!G54="S",Charges!G54="M",Charges!G54="L",Charges!G54="XL"),0,1)+IF(OR(Charges!H54="",AND(ISNUMBER(Charges!H54),Charges!H54&gt;=0),Charges!H54="S",Charges!H54="M",Charges!H54="L",Charges!H54="XL"),0,1)+IF(OR(Charges!I54="",AND(ISNUMBER(Charges!I54),Charges!I54&gt;=0),Charges!I54="S",Charges!I54="M",Charges!I54="L",Charges!I54="XL"),0,1)+IF(OR(Charges!J54="",AND(ISNUMBER(Charges!J54),Charges!J54&gt;=0),Charges!J54="S",Charges!J54="M",Charges!J54="L",Charges!J54="XL"),0,1)+IF(OR(Charges!K54="",AND(ISNUMBER(Charges!K54),Charges!K54&gt;=0),Charges!K54="S",Charges!K54="M",Charges!K54="L",Charges!K54="XL"),0,1)+IF(OR(Charges!L54="",AND(ISNUMBER(Charges!L54),Charges!L54&gt;=0),Charges!L54="S",Charges!L54="M",Charges!L54="L",Charges!L54="XL"),0,1)+IF(OR(Charges!M54="",AND(ISNUMBER(Charges!M54),Charges!M54&gt;=0),Charges!M54="S",Charges!M54="M",Charges!M54="L",Charges!M54="XL"),0,1)+IF(OR(Charges!N54="",AND(ISNUMBER(Charges!N54),Charges!N54&gt;=0),Charges!N54="S",Charges!N54="M",Charges!N54="L",Charges!N54="XL"),0,1)+IF(OR(Charges!O54="",AND(ISNUMBER(Charges!O54),Charges!O54&gt;=0),Charges!O54="S",Charges!O54="M",Charges!O54="L",Charges!O54="XL"),0,1)+IF(OR(Charges!P54="",AND(ISNUMBER(Charges!P54),Charges!P54&gt;=0),Charges!P54="S",Charges!P54="M",Charges!P54="L",Charges!P54="XL"),0,1)+IF(OR(Charges!Q54="",AND(ISNUMBER(Charges!Q54),Charges!Q54&gt;=0),Charges!Q54="S",Charges!Q54="M",Charges!Q54="L",Charges!Q54="XL"),0,1)+IF(OR(Charges!R54="",AND(ISNUMBER(Charges!R54),Charges!R54&gt;=0),Charges!R54="S",Charges!R54="M",Charges!R54="L",Charges!R54="XL"),0,1)</f>
        <v>0</v>
      </c>
      <c r="U54" t="n">
        <f>IF(AND(1&gt;Paramètres!$B$9,Charges!F54&lt;&gt;"",Charges!F54&lt;&gt;0),1,0)+IF(AND(2&gt;Paramètres!$B$9,Charges!G54&lt;&gt;"",Charges!G54&lt;&gt;0),1,0)+IF(AND(3&gt;Paramètres!$B$9,Charges!H54&lt;&gt;"",Charges!H54&lt;&gt;0),1,0)+IF(AND(4&gt;Paramètres!$B$9,Charges!I54&lt;&gt;"",Charges!I54&lt;&gt;0),1,0)+IF(AND(5&gt;Paramètres!$B$9,Charges!J54&lt;&gt;"",Charges!J54&lt;&gt;0),1,0)+IF(AND(6&gt;Paramètres!$B$9,Charges!K54&lt;&gt;"",Charges!K54&lt;&gt;0),1,0)+IF(AND(7&gt;Paramètres!$B$9,Charges!L54&lt;&gt;"",Charges!L54&lt;&gt;0),1,0)+IF(AND(8&gt;Paramètres!$B$9,Charges!M54&lt;&gt;"",Charges!M54&lt;&gt;0),1,0)+IF(AND(9&gt;Paramètres!$B$9,Charges!N54&lt;&gt;"",Charges!N54&lt;&gt;0),1,0)+IF(AND(10&gt;Paramètres!$B$9,Charges!O54&lt;&gt;"",Charges!O54&lt;&gt;0),1,0)+IF(AND(11&gt;Paramètres!$B$9,Charges!P54&lt;&gt;"",Charges!P54&lt;&gt;0),1,0)+IF(AND(12&gt;Paramètres!$B$9,Charges!Q54&lt;&gt;"",Charges!Q54&lt;&gt;0),1,0)+IF(AND(13&gt;Paramètres!$B$9,Charges!R54&lt;&gt;"",Charges!R54&lt;&gt;0),1,0)</f>
        <v>0</v>
      </c>
      <c r="V54" t="n">
        <f>IF(IFERROR(VLOOKUP(A54,'Projets'!$A$8:$Z$67,5,FALSE),"")="Engager",1,0)</f>
        <v>0</v>
      </c>
      <c r="W54" t="n">
        <f>IF(IFERROR(VLOOKUP(A54,'Projets'!$A$8:$Z$67,6,FALSE),"")="Engager",1,0)</f>
        <v>0</v>
      </c>
      <c r="X54" t="n">
        <f>E54*S54</f>
        <v>0</v>
      </c>
      <c r="Y54" t="n">
        <f>F54*S54</f>
        <v>0</v>
      </c>
      <c r="Z54" t="n">
        <f>G54*S54</f>
        <v>0</v>
      </c>
      <c r="AA54" t="n">
        <f>H54*S54</f>
        <v>0</v>
      </c>
      <c r="AB54" t="n">
        <f>I54*S54</f>
        <v>0</v>
      </c>
      <c r="AC54" t="n">
        <f>J54*S54</f>
        <v>0</v>
      </c>
      <c r="AD54" t="n">
        <f>K54*S54</f>
        <v>0</v>
      </c>
      <c r="AE54" t="n">
        <f>L54*S54</f>
        <v>0</v>
      </c>
      <c r="AF54" t="n">
        <f>M54*S54</f>
        <v>0</v>
      </c>
      <c r="AG54" t="n">
        <f>N54*S54</f>
        <v>0</v>
      </c>
      <c r="AH54" t="n">
        <f>O54*S54</f>
        <v>0</v>
      </c>
      <c r="AI54" t="n">
        <f>P54*S54</f>
        <v>0</v>
      </c>
      <c r="AJ54" t="n">
        <f>Q54*S54</f>
        <v>0</v>
      </c>
      <c r="AK54" t="n">
        <f>E54*V54</f>
        <v>0</v>
      </c>
      <c r="AL54" t="n">
        <f>F54*V54</f>
        <v>0</v>
      </c>
      <c r="AM54" t="n">
        <f>G54*V54</f>
        <v>0</v>
      </c>
      <c r="AN54" t="n">
        <f>H54*V54</f>
        <v>0</v>
      </c>
      <c r="AO54" t="n">
        <f>I54*V54</f>
        <v>0</v>
      </c>
      <c r="AP54" t="n">
        <f>J54*V54</f>
        <v>0</v>
      </c>
      <c r="AQ54" t="n">
        <f>K54*V54</f>
        <v>0</v>
      </c>
      <c r="AR54" t="n">
        <f>L54*V54</f>
        <v>0</v>
      </c>
      <c r="AS54" t="n">
        <f>M54*V54</f>
        <v>0</v>
      </c>
      <c r="AT54" t="n">
        <f>N54*V54</f>
        <v>0</v>
      </c>
      <c r="AU54" t="n">
        <f>O54*V54</f>
        <v>0</v>
      </c>
      <c r="AV54" t="n">
        <f>P54*V54</f>
        <v>0</v>
      </c>
      <c r="AW54" t="n">
        <f>Q54*V54</f>
        <v>0</v>
      </c>
      <c r="AX54" t="n">
        <f>E54*W54</f>
        <v>0</v>
      </c>
      <c r="AY54" t="n">
        <f>F54*W54</f>
        <v>0</v>
      </c>
      <c r="AZ54" t="n">
        <f>G54*W54</f>
        <v>0</v>
      </c>
      <c r="BA54" t="n">
        <f>H54*W54</f>
        <v>0</v>
      </c>
      <c r="BB54" t="n">
        <f>I54*W54</f>
        <v>0</v>
      </c>
      <c r="BC54" t="n">
        <f>J54*W54</f>
        <v>0</v>
      </c>
      <c r="BD54" t="n">
        <f>K54*W54</f>
        <v>0</v>
      </c>
      <c r="BE54" t="n">
        <f>L54*W54</f>
        <v>0</v>
      </c>
      <c r="BF54" t="n">
        <f>M54*W54</f>
        <v>0</v>
      </c>
      <c r="BG54" t="n">
        <f>N54*W54</f>
        <v>0</v>
      </c>
      <c r="BH54" t="n">
        <f>O54*W54</f>
        <v>0</v>
      </c>
      <c r="BI54" t="n">
        <f>P54*W54</f>
        <v>0</v>
      </c>
      <c r="BJ54" t="n">
        <f>Q54*W54</f>
        <v>0</v>
      </c>
      <c r="DM54" t="str">
        <f>IF(AND(Projets!A54&lt;&gt;"",Projets!G54="Engager"),DM53&amp;IF(DM53="","",", ")&amp;Projets!B54,DM53)</f>
        <v/>
      </c>
      <c r="DN54" t="str">
        <f>IF(AND(Projets!A54&lt;&gt;"",Projets!G54="Reporter"),DN53&amp;IF(DN53="","",", ")&amp;Projets!B54,DN53)</f>
        <v/>
      </c>
    </row>
    <row r="55">
      <c r="A55" t="n">
        <f>Charges!A55</f>
        <v>0</v>
      </c>
      <c r="B55" t="n">
        <f>Charges!C55</f>
        <v>0</v>
      </c>
      <c r="C55" t="str">
        <f>Charges!D55</f>
        <v/>
      </c>
      <c r="E55" t="n">
        <f>IF(1&lt;=Paramètres!$B$9,MAX(0,IFERROR(N(IF(ISNUMBER(Charges!F55),MAX(0,Charges!F55),IFERROR(VLOOKUP(Charges!F55,Paramètres!$A$15:$B$18,2,FALSE),0))),0)),0)</f>
        <v>0</v>
      </c>
      <c r="F55" t="n">
        <f>IF(2&lt;=Paramètres!$B$9,MAX(0,IFERROR(N(IF(ISNUMBER(Charges!G55),MAX(0,Charges!G55),IFERROR(VLOOKUP(Charges!G55,Paramètres!$A$15:$B$18,2,FALSE),0))),0)),0)</f>
        <v>0</v>
      </c>
      <c r="G55" t="n">
        <f>IF(3&lt;=Paramètres!$B$9,MAX(0,IFERROR(N(IF(ISNUMBER(Charges!H55),MAX(0,Charges!H55),IFERROR(VLOOKUP(Charges!H55,Paramètres!$A$15:$B$18,2,FALSE),0))),0)),0)</f>
        <v>0</v>
      </c>
      <c r="H55" t="n">
        <f>IF(4&lt;=Paramètres!$B$9,MAX(0,IFERROR(N(IF(ISNUMBER(Charges!I55),MAX(0,Charges!I55),IFERROR(VLOOKUP(Charges!I55,Paramètres!$A$15:$B$18,2,FALSE),0))),0)),0)</f>
        <v>0</v>
      </c>
      <c r="I55" t="n">
        <f>IF(5&lt;=Paramètres!$B$9,MAX(0,IFERROR(N(IF(ISNUMBER(Charges!J55),MAX(0,Charges!J55),IFERROR(VLOOKUP(Charges!J55,Paramètres!$A$15:$B$18,2,FALSE),0))),0)),0)</f>
        <v>0</v>
      </c>
      <c r="J55" t="n">
        <f>IF(6&lt;=Paramètres!$B$9,MAX(0,IFERROR(N(IF(ISNUMBER(Charges!K55),MAX(0,Charges!K55),IFERROR(VLOOKUP(Charges!K55,Paramètres!$A$15:$B$18,2,FALSE),0))),0)),0)</f>
        <v>0</v>
      </c>
      <c r="K55" t="n">
        <f>IF(7&lt;=Paramètres!$B$9,MAX(0,IFERROR(N(IF(ISNUMBER(Charges!L55),MAX(0,Charges!L55),IFERROR(VLOOKUP(Charges!L55,Paramètres!$A$15:$B$18,2,FALSE),0))),0)),0)</f>
        <v>0</v>
      </c>
      <c r="L55" t="n">
        <f>IF(8&lt;=Paramètres!$B$9,MAX(0,IFERROR(N(IF(ISNUMBER(Charges!M55),MAX(0,Charges!M55),IFERROR(VLOOKUP(Charges!M55,Paramètres!$A$15:$B$18,2,FALSE),0))),0)),0)</f>
        <v>0</v>
      </c>
      <c r="M55" t="n">
        <f>IF(9&lt;=Paramètres!$B$9,MAX(0,IFERROR(N(IF(ISNUMBER(Charges!N55),MAX(0,Charges!N55),IFERROR(VLOOKUP(Charges!N55,Paramètres!$A$15:$B$18,2,FALSE),0))),0)),0)</f>
        <v>0</v>
      </c>
      <c r="N55" t="n">
        <f>IF(10&lt;=Paramètres!$B$9,MAX(0,IFERROR(N(IF(ISNUMBER(Charges!O55),MAX(0,Charges!O55),IFERROR(VLOOKUP(Charges!O55,Paramètres!$A$15:$B$18,2,FALSE),0))),0)),0)</f>
        <v>0</v>
      </c>
      <c r="O55" t="n">
        <f>IF(11&lt;=Paramètres!$B$9,MAX(0,IFERROR(N(IF(ISNUMBER(Charges!P55),MAX(0,Charges!P55),IFERROR(VLOOKUP(Charges!P55,Paramètres!$A$15:$B$18,2,FALSE),0))),0)),0)</f>
        <v>0</v>
      </c>
      <c r="P55" t="n">
        <f>IF(12&lt;=Paramètres!$B$9,MAX(0,IFERROR(N(IF(ISNUMBER(Charges!Q55),MAX(0,Charges!Q55),IFERROR(VLOOKUP(Charges!Q55,Paramètres!$A$15:$B$18,2,FALSE),0))),0)),0)</f>
        <v>0</v>
      </c>
      <c r="Q55" t="n">
        <f>IF(13&lt;=Paramètres!$B$9,MAX(0,IFERROR(N(IF(ISNUMBER(Charges!R55),MAX(0,Charges!R55),IFERROR(VLOOKUP(Charges!R55,Paramètres!$A$15:$B$18,2,FALSE),0))),0)),0)</f>
        <v>0</v>
      </c>
      <c r="R55" t="n">
        <f>SUM(E55:Q55)</f>
        <v>0</v>
      </c>
      <c r="S55" t="n">
        <f>IF(IFERROR(VLOOKUP(A55,'Projets'!$A$8:$Z$67,7,FALSE),"")="Engager",1,0)</f>
        <v>0</v>
      </c>
      <c r="T55" t="n">
        <f>IF(OR(Charges!F55="",AND(ISNUMBER(Charges!F55),Charges!F55&gt;=0),Charges!F55="S",Charges!F55="M",Charges!F55="L",Charges!F55="XL"),0,1)+IF(OR(Charges!G55="",AND(ISNUMBER(Charges!G55),Charges!G55&gt;=0),Charges!G55="S",Charges!G55="M",Charges!G55="L",Charges!G55="XL"),0,1)+IF(OR(Charges!H55="",AND(ISNUMBER(Charges!H55),Charges!H55&gt;=0),Charges!H55="S",Charges!H55="M",Charges!H55="L",Charges!H55="XL"),0,1)+IF(OR(Charges!I55="",AND(ISNUMBER(Charges!I55),Charges!I55&gt;=0),Charges!I55="S",Charges!I55="M",Charges!I55="L",Charges!I55="XL"),0,1)+IF(OR(Charges!J55="",AND(ISNUMBER(Charges!J55),Charges!J55&gt;=0),Charges!J55="S",Charges!J55="M",Charges!J55="L",Charges!J55="XL"),0,1)+IF(OR(Charges!K55="",AND(ISNUMBER(Charges!K55),Charges!K55&gt;=0),Charges!K55="S",Charges!K55="M",Charges!K55="L",Charges!K55="XL"),0,1)+IF(OR(Charges!L55="",AND(ISNUMBER(Charges!L55),Charges!L55&gt;=0),Charges!L55="S",Charges!L55="M",Charges!L55="L",Charges!L55="XL"),0,1)+IF(OR(Charges!M55="",AND(ISNUMBER(Charges!M55),Charges!M55&gt;=0),Charges!M55="S",Charges!M55="M",Charges!M55="L",Charges!M55="XL"),0,1)+IF(OR(Charges!N55="",AND(ISNUMBER(Charges!N55),Charges!N55&gt;=0),Charges!N55="S",Charges!N55="M",Charges!N55="L",Charges!N55="XL"),0,1)+IF(OR(Charges!O55="",AND(ISNUMBER(Charges!O55),Charges!O55&gt;=0),Charges!O55="S",Charges!O55="M",Charges!O55="L",Charges!O55="XL"),0,1)+IF(OR(Charges!P55="",AND(ISNUMBER(Charges!P55),Charges!P55&gt;=0),Charges!P55="S",Charges!P55="M",Charges!P55="L",Charges!P55="XL"),0,1)+IF(OR(Charges!Q55="",AND(ISNUMBER(Charges!Q55),Charges!Q55&gt;=0),Charges!Q55="S",Charges!Q55="M",Charges!Q55="L",Charges!Q55="XL"),0,1)+IF(OR(Charges!R55="",AND(ISNUMBER(Charges!R55),Charges!R55&gt;=0),Charges!R55="S",Charges!R55="M",Charges!R55="L",Charges!R55="XL"),0,1)</f>
        <v>0</v>
      </c>
      <c r="U55" t="n">
        <f>IF(AND(1&gt;Paramètres!$B$9,Charges!F55&lt;&gt;"",Charges!F55&lt;&gt;0),1,0)+IF(AND(2&gt;Paramètres!$B$9,Charges!G55&lt;&gt;"",Charges!G55&lt;&gt;0),1,0)+IF(AND(3&gt;Paramètres!$B$9,Charges!H55&lt;&gt;"",Charges!H55&lt;&gt;0),1,0)+IF(AND(4&gt;Paramètres!$B$9,Charges!I55&lt;&gt;"",Charges!I55&lt;&gt;0),1,0)+IF(AND(5&gt;Paramètres!$B$9,Charges!J55&lt;&gt;"",Charges!J55&lt;&gt;0),1,0)+IF(AND(6&gt;Paramètres!$B$9,Charges!K55&lt;&gt;"",Charges!K55&lt;&gt;0),1,0)+IF(AND(7&gt;Paramètres!$B$9,Charges!L55&lt;&gt;"",Charges!L55&lt;&gt;0),1,0)+IF(AND(8&gt;Paramètres!$B$9,Charges!M55&lt;&gt;"",Charges!M55&lt;&gt;0),1,0)+IF(AND(9&gt;Paramètres!$B$9,Charges!N55&lt;&gt;"",Charges!N55&lt;&gt;0),1,0)+IF(AND(10&gt;Paramètres!$B$9,Charges!O55&lt;&gt;"",Charges!O55&lt;&gt;0),1,0)+IF(AND(11&gt;Paramètres!$B$9,Charges!P55&lt;&gt;"",Charges!P55&lt;&gt;0),1,0)+IF(AND(12&gt;Paramètres!$B$9,Charges!Q55&lt;&gt;"",Charges!Q55&lt;&gt;0),1,0)+IF(AND(13&gt;Paramètres!$B$9,Charges!R55&lt;&gt;"",Charges!R55&lt;&gt;0),1,0)</f>
        <v>0</v>
      </c>
      <c r="V55" t="n">
        <f>IF(IFERROR(VLOOKUP(A55,'Projets'!$A$8:$Z$67,5,FALSE),"")="Engager",1,0)</f>
        <v>0</v>
      </c>
      <c r="W55" t="n">
        <f>IF(IFERROR(VLOOKUP(A55,'Projets'!$A$8:$Z$67,6,FALSE),"")="Engager",1,0)</f>
        <v>0</v>
      </c>
      <c r="X55" t="n">
        <f>E55*S55</f>
        <v>0</v>
      </c>
      <c r="Y55" t="n">
        <f>F55*S55</f>
        <v>0</v>
      </c>
      <c r="Z55" t="n">
        <f>G55*S55</f>
        <v>0</v>
      </c>
      <c r="AA55" t="n">
        <f>H55*S55</f>
        <v>0</v>
      </c>
      <c r="AB55" t="n">
        <f>I55*S55</f>
        <v>0</v>
      </c>
      <c r="AC55" t="n">
        <f>J55*S55</f>
        <v>0</v>
      </c>
      <c r="AD55" t="n">
        <f>K55*S55</f>
        <v>0</v>
      </c>
      <c r="AE55" t="n">
        <f>L55*S55</f>
        <v>0</v>
      </c>
      <c r="AF55" t="n">
        <f>M55*S55</f>
        <v>0</v>
      </c>
      <c r="AG55" t="n">
        <f>N55*S55</f>
        <v>0</v>
      </c>
      <c r="AH55" t="n">
        <f>O55*S55</f>
        <v>0</v>
      </c>
      <c r="AI55" t="n">
        <f>P55*S55</f>
        <v>0</v>
      </c>
      <c r="AJ55" t="n">
        <f>Q55*S55</f>
        <v>0</v>
      </c>
      <c r="AK55" t="n">
        <f>E55*V55</f>
        <v>0</v>
      </c>
      <c r="AL55" t="n">
        <f>F55*V55</f>
        <v>0</v>
      </c>
      <c r="AM55" t="n">
        <f>G55*V55</f>
        <v>0</v>
      </c>
      <c r="AN55" t="n">
        <f>H55*V55</f>
        <v>0</v>
      </c>
      <c r="AO55" t="n">
        <f>I55*V55</f>
        <v>0</v>
      </c>
      <c r="AP55" t="n">
        <f>J55*V55</f>
        <v>0</v>
      </c>
      <c r="AQ55" t="n">
        <f>K55*V55</f>
        <v>0</v>
      </c>
      <c r="AR55" t="n">
        <f>L55*V55</f>
        <v>0</v>
      </c>
      <c r="AS55" t="n">
        <f>M55*V55</f>
        <v>0</v>
      </c>
      <c r="AT55" t="n">
        <f>N55*V55</f>
        <v>0</v>
      </c>
      <c r="AU55" t="n">
        <f>O55*V55</f>
        <v>0</v>
      </c>
      <c r="AV55" t="n">
        <f>P55*V55</f>
        <v>0</v>
      </c>
      <c r="AW55" t="n">
        <f>Q55*V55</f>
        <v>0</v>
      </c>
      <c r="AX55" t="n">
        <f>E55*W55</f>
        <v>0</v>
      </c>
      <c r="AY55" t="n">
        <f>F55*W55</f>
        <v>0</v>
      </c>
      <c r="AZ55" t="n">
        <f>G55*W55</f>
        <v>0</v>
      </c>
      <c r="BA55" t="n">
        <f>H55*W55</f>
        <v>0</v>
      </c>
      <c r="BB55" t="n">
        <f>I55*W55</f>
        <v>0</v>
      </c>
      <c r="BC55" t="n">
        <f>J55*W55</f>
        <v>0</v>
      </c>
      <c r="BD55" t="n">
        <f>K55*W55</f>
        <v>0</v>
      </c>
      <c r="BE55" t="n">
        <f>L55*W55</f>
        <v>0</v>
      </c>
      <c r="BF55" t="n">
        <f>M55*W55</f>
        <v>0</v>
      </c>
      <c r="BG55" t="n">
        <f>N55*W55</f>
        <v>0</v>
      </c>
      <c r="BH55" t="n">
        <f>O55*W55</f>
        <v>0</v>
      </c>
      <c r="BI55" t="n">
        <f>P55*W55</f>
        <v>0</v>
      </c>
      <c r="BJ55" t="n">
        <f>Q55*W55</f>
        <v>0</v>
      </c>
      <c r="DM55" t="str">
        <f>IF(AND(Projets!A55&lt;&gt;"",Projets!G55="Engager"),DM54&amp;IF(DM54="","",", ")&amp;Projets!B55,DM54)</f>
        <v/>
      </c>
      <c r="DN55" t="str">
        <f>IF(AND(Projets!A55&lt;&gt;"",Projets!G55="Reporter"),DN54&amp;IF(DN54="","",", ")&amp;Projets!B55,DN54)</f>
        <v/>
      </c>
    </row>
    <row r="56">
      <c r="A56" t="n">
        <f>Charges!A56</f>
        <v>0</v>
      </c>
      <c r="B56" t="n">
        <f>Charges!C56</f>
        <v>0</v>
      </c>
      <c r="C56" t="str">
        <f>Charges!D56</f>
        <v/>
      </c>
      <c r="E56" t="n">
        <f>IF(1&lt;=Paramètres!$B$9,MAX(0,IFERROR(N(IF(ISNUMBER(Charges!F56),MAX(0,Charges!F56),IFERROR(VLOOKUP(Charges!F56,Paramètres!$A$15:$B$18,2,FALSE),0))),0)),0)</f>
        <v>0</v>
      </c>
      <c r="F56" t="n">
        <f>IF(2&lt;=Paramètres!$B$9,MAX(0,IFERROR(N(IF(ISNUMBER(Charges!G56),MAX(0,Charges!G56),IFERROR(VLOOKUP(Charges!G56,Paramètres!$A$15:$B$18,2,FALSE),0))),0)),0)</f>
        <v>0</v>
      </c>
      <c r="G56" t="n">
        <f>IF(3&lt;=Paramètres!$B$9,MAX(0,IFERROR(N(IF(ISNUMBER(Charges!H56),MAX(0,Charges!H56),IFERROR(VLOOKUP(Charges!H56,Paramètres!$A$15:$B$18,2,FALSE),0))),0)),0)</f>
        <v>0</v>
      </c>
      <c r="H56" t="n">
        <f>IF(4&lt;=Paramètres!$B$9,MAX(0,IFERROR(N(IF(ISNUMBER(Charges!I56),MAX(0,Charges!I56),IFERROR(VLOOKUP(Charges!I56,Paramètres!$A$15:$B$18,2,FALSE),0))),0)),0)</f>
        <v>0</v>
      </c>
      <c r="I56" t="n">
        <f>IF(5&lt;=Paramètres!$B$9,MAX(0,IFERROR(N(IF(ISNUMBER(Charges!J56),MAX(0,Charges!J56),IFERROR(VLOOKUP(Charges!J56,Paramètres!$A$15:$B$18,2,FALSE),0))),0)),0)</f>
        <v>0</v>
      </c>
      <c r="J56" t="n">
        <f>IF(6&lt;=Paramètres!$B$9,MAX(0,IFERROR(N(IF(ISNUMBER(Charges!K56),MAX(0,Charges!K56),IFERROR(VLOOKUP(Charges!K56,Paramètres!$A$15:$B$18,2,FALSE),0))),0)),0)</f>
        <v>0</v>
      </c>
      <c r="K56" t="n">
        <f>IF(7&lt;=Paramètres!$B$9,MAX(0,IFERROR(N(IF(ISNUMBER(Charges!L56),MAX(0,Charges!L56),IFERROR(VLOOKUP(Charges!L56,Paramètres!$A$15:$B$18,2,FALSE),0))),0)),0)</f>
        <v>0</v>
      </c>
      <c r="L56" t="n">
        <f>IF(8&lt;=Paramètres!$B$9,MAX(0,IFERROR(N(IF(ISNUMBER(Charges!M56),MAX(0,Charges!M56),IFERROR(VLOOKUP(Charges!M56,Paramètres!$A$15:$B$18,2,FALSE),0))),0)),0)</f>
        <v>0</v>
      </c>
      <c r="M56" t="n">
        <f>IF(9&lt;=Paramètres!$B$9,MAX(0,IFERROR(N(IF(ISNUMBER(Charges!N56),MAX(0,Charges!N56),IFERROR(VLOOKUP(Charges!N56,Paramètres!$A$15:$B$18,2,FALSE),0))),0)),0)</f>
        <v>0</v>
      </c>
      <c r="N56" t="n">
        <f>IF(10&lt;=Paramètres!$B$9,MAX(0,IFERROR(N(IF(ISNUMBER(Charges!O56),MAX(0,Charges!O56),IFERROR(VLOOKUP(Charges!O56,Paramètres!$A$15:$B$18,2,FALSE),0))),0)),0)</f>
        <v>0</v>
      </c>
      <c r="O56" t="n">
        <f>IF(11&lt;=Paramètres!$B$9,MAX(0,IFERROR(N(IF(ISNUMBER(Charges!P56),MAX(0,Charges!P56),IFERROR(VLOOKUP(Charges!P56,Paramètres!$A$15:$B$18,2,FALSE),0))),0)),0)</f>
        <v>0</v>
      </c>
      <c r="P56" t="n">
        <f>IF(12&lt;=Paramètres!$B$9,MAX(0,IFERROR(N(IF(ISNUMBER(Charges!Q56),MAX(0,Charges!Q56),IFERROR(VLOOKUP(Charges!Q56,Paramètres!$A$15:$B$18,2,FALSE),0))),0)),0)</f>
        <v>0</v>
      </c>
      <c r="Q56" t="n">
        <f>IF(13&lt;=Paramètres!$B$9,MAX(0,IFERROR(N(IF(ISNUMBER(Charges!R56),MAX(0,Charges!R56),IFERROR(VLOOKUP(Charges!R56,Paramètres!$A$15:$B$18,2,FALSE),0))),0)),0)</f>
        <v>0</v>
      </c>
      <c r="R56" t="n">
        <f>SUM(E56:Q56)</f>
        <v>0</v>
      </c>
      <c r="S56" t="n">
        <f>IF(IFERROR(VLOOKUP(A56,'Projets'!$A$8:$Z$67,7,FALSE),"")="Engager",1,0)</f>
        <v>0</v>
      </c>
      <c r="T56" t="n">
        <f>IF(OR(Charges!F56="",AND(ISNUMBER(Charges!F56),Charges!F56&gt;=0),Charges!F56="S",Charges!F56="M",Charges!F56="L",Charges!F56="XL"),0,1)+IF(OR(Charges!G56="",AND(ISNUMBER(Charges!G56),Charges!G56&gt;=0),Charges!G56="S",Charges!G56="M",Charges!G56="L",Charges!G56="XL"),0,1)+IF(OR(Charges!H56="",AND(ISNUMBER(Charges!H56),Charges!H56&gt;=0),Charges!H56="S",Charges!H56="M",Charges!H56="L",Charges!H56="XL"),0,1)+IF(OR(Charges!I56="",AND(ISNUMBER(Charges!I56),Charges!I56&gt;=0),Charges!I56="S",Charges!I56="M",Charges!I56="L",Charges!I56="XL"),0,1)+IF(OR(Charges!J56="",AND(ISNUMBER(Charges!J56),Charges!J56&gt;=0),Charges!J56="S",Charges!J56="M",Charges!J56="L",Charges!J56="XL"),0,1)+IF(OR(Charges!K56="",AND(ISNUMBER(Charges!K56),Charges!K56&gt;=0),Charges!K56="S",Charges!K56="M",Charges!K56="L",Charges!K56="XL"),0,1)+IF(OR(Charges!L56="",AND(ISNUMBER(Charges!L56),Charges!L56&gt;=0),Charges!L56="S",Charges!L56="M",Charges!L56="L",Charges!L56="XL"),0,1)+IF(OR(Charges!M56="",AND(ISNUMBER(Charges!M56),Charges!M56&gt;=0),Charges!M56="S",Charges!M56="M",Charges!M56="L",Charges!M56="XL"),0,1)+IF(OR(Charges!N56="",AND(ISNUMBER(Charges!N56),Charges!N56&gt;=0),Charges!N56="S",Charges!N56="M",Charges!N56="L",Charges!N56="XL"),0,1)+IF(OR(Charges!O56="",AND(ISNUMBER(Charges!O56),Charges!O56&gt;=0),Charges!O56="S",Charges!O56="M",Charges!O56="L",Charges!O56="XL"),0,1)+IF(OR(Charges!P56="",AND(ISNUMBER(Charges!P56),Charges!P56&gt;=0),Charges!P56="S",Charges!P56="M",Charges!P56="L",Charges!P56="XL"),0,1)+IF(OR(Charges!Q56="",AND(ISNUMBER(Charges!Q56),Charges!Q56&gt;=0),Charges!Q56="S",Charges!Q56="M",Charges!Q56="L",Charges!Q56="XL"),0,1)+IF(OR(Charges!R56="",AND(ISNUMBER(Charges!R56),Charges!R56&gt;=0),Charges!R56="S",Charges!R56="M",Charges!R56="L",Charges!R56="XL"),0,1)</f>
        <v>0</v>
      </c>
      <c r="U56" t="n">
        <f>IF(AND(1&gt;Paramètres!$B$9,Charges!F56&lt;&gt;"",Charges!F56&lt;&gt;0),1,0)+IF(AND(2&gt;Paramètres!$B$9,Charges!G56&lt;&gt;"",Charges!G56&lt;&gt;0),1,0)+IF(AND(3&gt;Paramètres!$B$9,Charges!H56&lt;&gt;"",Charges!H56&lt;&gt;0),1,0)+IF(AND(4&gt;Paramètres!$B$9,Charges!I56&lt;&gt;"",Charges!I56&lt;&gt;0),1,0)+IF(AND(5&gt;Paramètres!$B$9,Charges!J56&lt;&gt;"",Charges!J56&lt;&gt;0),1,0)+IF(AND(6&gt;Paramètres!$B$9,Charges!K56&lt;&gt;"",Charges!K56&lt;&gt;0),1,0)+IF(AND(7&gt;Paramètres!$B$9,Charges!L56&lt;&gt;"",Charges!L56&lt;&gt;0),1,0)+IF(AND(8&gt;Paramètres!$B$9,Charges!M56&lt;&gt;"",Charges!M56&lt;&gt;0),1,0)+IF(AND(9&gt;Paramètres!$B$9,Charges!N56&lt;&gt;"",Charges!N56&lt;&gt;0),1,0)+IF(AND(10&gt;Paramètres!$B$9,Charges!O56&lt;&gt;"",Charges!O56&lt;&gt;0),1,0)+IF(AND(11&gt;Paramètres!$B$9,Charges!P56&lt;&gt;"",Charges!P56&lt;&gt;0),1,0)+IF(AND(12&gt;Paramètres!$B$9,Charges!Q56&lt;&gt;"",Charges!Q56&lt;&gt;0),1,0)+IF(AND(13&gt;Paramètres!$B$9,Charges!R56&lt;&gt;"",Charges!R56&lt;&gt;0),1,0)</f>
        <v>0</v>
      </c>
      <c r="V56" t="n">
        <f>IF(IFERROR(VLOOKUP(A56,'Projets'!$A$8:$Z$67,5,FALSE),"")="Engager",1,0)</f>
        <v>0</v>
      </c>
      <c r="W56" t="n">
        <f>IF(IFERROR(VLOOKUP(A56,'Projets'!$A$8:$Z$67,6,FALSE),"")="Engager",1,0)</f>
        <v>0</v>
      </c>
      <c r="X56" t="n">
        <f>E56*S56</f>
        <v>0</v>
      </c>
      <c r="Y56" t="n">
        <f>F56*S56</f>
        <v>0</v>
      </c>
      <c r="Z56" t="n">
        <f>G56*S56</f>
        <v>0</v>
      </c>
      <c r="AA56" t="n">
        <f>H56*S56</f>
        <v>0</v>
      </c>
      <c r="AB56" t="n">
        <f>I56*S56</f>
        <v>0</v>
      </c>
      <c r="AC56" t="n">
        <f>J56*S56</f>
        <v>0</v>
      </c>
      <c r="AD56" t="n">
        <f>K56*S56</f>
        <v>0</v>
      </c>
      <c r="AE56" t="n">
        <f>L56*S56</f>
        <v>0</v>
      </c>
      <c r="AF56" t="n">
        <f>M56*S56</f>
        <v>0</v>
      </c>
      <c r="AG56" t="n">
        <f>N56*S56</f>
        <v>0</v>
      </c>
      <c r="AH56" t="n">
        <f>O56*S56</f>
        <v>0</v>
      </c>
      <c r="AI56" t="n">
        <f>P56*S56</f>
        <v>0</v>
      </c>
      <c r="AJ56" t="n">
        <f>Q56*S56</f>
        <v>0</v>
      </c>
      <c r="AK56" t="n">
        <f>E56*V56</f>
        <v>0</v>
      </c>
      <c r="AL56" t="n">
        <f>F56*V56</f>
        <v>0</v>
      </c>
      <c r="AM56" t="n">
        <f>G56*V56</f>
        <v>0</v>
      </c>
      <c r="AN56" t="n">
        <f>H56*V56</f>
        <v>0</v>
      </c>
      <c r="AO56" t="n">
        <f>I56*V56</f>
        <v>0</v>
      </c>
      <c r="AP56" t="n">
        <f>J56*V56</f>
        <v>0</v>
      </c>
      <c r="AQ56" t="n">
        <f>K56*V56</f>
        <v>0</v>
      </c>
      <c r="AR56" t="n">
        <f>L56*V56</f>
        <v>0</v>
      </c>
      <c r="AS56" t="n">
        <f>M56*V56</f>
        <v>0</v>
      </c>
      <c r="AT56" t="n">
        <f>N56*V56</f>
        <v>0</v>
      </c>
      <c r="AU56" t="n">
        <f>O56*V56</f>
        <v>0</v>
      </c>
      <c r="AV56" t="n">
        <f>P56*V56</f>
        <v>0</v>
      </c>
      <c r="AW56" t="n">
        <f>Q56*V56</f>
        <v>0</v>
      </c>
      <c r="AX56" t="n">
        <f>E56*W56</f>
        <v>0</v>
      </c>
      <c r="AY56" t="n">
        <f>F56*W56</f>
        <v>0</v>
      </c>
      <c r="AZ56" t="n">
        <f>G56*W56</f>
        <v>0</v>
      </c>
      <c r="BA56" t="n">
        <f>H56*W56</f>
        <v>0</v>
      </c>
      <c r="BB56" t="n">
        <f>I56*W56</f>
        <v>0</v>
      </c>
      <c r="BC56" t="n">
        <f>J56*W56</f>
        <v>0</v>
      </c>
      <c r="BD56" t="n">
        <f>K56*W56</f>
        <v>0</v>
      </c>
      <c r="BE56" t="n">
        <f>L56*W56</f>
        <v>0</v>
      </c>
      <c r="BF56" t="n">
        <f>M56*W56</f>
        <v>0</v>
      </c>
      <c r="BG56" t="n">
        <f>N56*W56</f>
        <v>0</v>
      </c>
      <c r="BH56" t="n">
        <f>O56*W56</f>
        <v>0</v>
      </c>
      <c r="BI56" t="n">
        <f>P56*W56</f>
        <v>0</v>
      </c>
      <c r="BJ56" t="n">
        <f>Q56*W56</f>
        <v>0</v>
      </c>
      <c r="DM56" t="str">
        <f>IF(AND(Projets!A56&lt;&gt;"",Projets!G56="Engager"),DM55&amp;IF(DM55="","",", ")&amp;Projets!B56,DM55)</f>
        <v/>
      </c>
      <c r="DN56" t="str">
        <f>IF(AND(Projets!A56&lt;&gt;"",Projets!G56="Reporter"),DN55&amp;IF(DN55="","",", ")&amp;Projets!B56,DN55)</f>
        <v/>
      </c>
    </row>
    <row r="57">
      <c r="A57" t="n">
        <f>Charges!A57</f>
        <v>0</v>
      </c>
      <c r="B57" t="n">
        <f>Charges!C57</f>
        <v>0</v>
      </c>
      <c r="C57" t="str">
        <f>Charges!D57</f>
        <v/>
      </c>
      <c r="E57" t="n">
        <f>IF(1&lt;=Paramètres!$B$9,MAX(0,IFERROR(N(IF(ISNUMBER(Charges!F57),MAX(0,Charges!F57),IFERROR(VLOOKUP(Charges!F57,Paramètres!$A$15:$B$18,2,FALSE),0))),0)),0)</f>
        <v>0</v>
      </c>
      <c r="F57" t="n">
        <f>IF(2&lt;=Paramètres!$B$9,MAX(0,IFERROR(N(IF(ISNUMBER(Charges!G57),MAX(0,Charges!G57),IFERROR(VLOOKUP(Charges!G57,Paramètres!$A$15:$B$18,2,FALSE),0))),0)),0)</f>
        <v>0</v>
      </c>
      <c r="G57" t="n">
        <f>IF(3&lt;=Paramètres!$B$9,MAX(0,IFERROR(N(IF(ISNUMBER(Charges!H57),MAX(0,Charges!H57),IFERROR(VLOOKUP(Charges!H57,Paramètres!$A$15:$B$18,2,FALSE),0))),0)),0)</f>
        <v>0</v>
      </c>
      <c r="H57" t="n">
        <f>IF(4&lt;=Paramètres!$B$9,MAX(0,IFERROR(N(IF(ISNUMBER(Charges!I57),MAX(0,Charges!I57),IFERROR(VLOOKUP(Charges!I57,Paramètres!$A$15:$B$18,2,FALSE),0))),0)),0)</f>
        <v>0</v>
      </c>
      <c r="I57" t="n">
        <f>IF(5&lt;=Paramètres!$B$9,MAX(0,IFERROR(N(IF(ISNUMBER(Charges!J57),MAX(0,Charges!J57),IFERROR(VLOOKUP(Charges!J57,Paramètres!$A$15:$B$18,2,FALSE),0))),0)),0)</f>
        <v>0</v>
      </c>
      <c r="J57" t="n">
        <f>IF(6&lt;=Paramètres!$B$9,MAX(0,IFERROR(N(IF(ISNUMBER(Charges!K57),MAX(0,Charges!K57),IFERROR(VLOOKUP(Charges!K57,Paramètres!$A$15:$B$18,2,FALSE),0))),0)),0)</f>
        <v>0</v>
      </c>
      <c r="K57" t="n">
        <f>IF(7&lt;=Paramètres!$B$9,MAX(0,IFERROR(N(IF(ISNUMBER(Charges!L57),MAX(0,Charges!L57),IFERROR(VLOOKUP(Charges!L57,Paramètres!$A$15:$B$18,2,FALSE),0))),0)),0)</f>
        <v>0</v>
      </c>
      <c r="L57" t="n">
        <f>IF(8&lt;=Paramètres!$B$9,MAX(0,IFERROR(N(IF(ISNUMBER(Charges!M57),MAX(0,Charges!M57),IFERROR(VLOOKUP(Charges!M57,Paramètres!$A$15:$B$18,2,FALSE),0))),0)),0)</f>
        <v>0</v>
      </c>
      <c r="M57" t="n">
        <f>IF(9&lt;=Paramètres!$B$9,MAX(0,IFERROR(N(IF(ISNUMBER(Charges!N57),MAX(0,Charges!N57),IFERROR(VLOOKUP(Charges!N57,Paramètres!$A$15:$B$18,2,FALSE),0))),0)),0)</f>
        <v>0</v>
      </c>
      <c r="N57" t="n">
        <f>IF(10&lt;=Paramètres!$B$9,MAX(0,IFERROR(N(IF(ISNUMBER(Charges!O57),MAX(0,Charges!O57),IFERROR(VLOOKUP(Charges!O57,Paramètres!$A$15:$B$18,2,FALSE),0))),0)),0)</f>
        <v>0</v>
      </c>
      <c r="O57" t="n">
        <f>IF(11&lt;=Paramètres!$B$9,MAX(0,IFERROR(N(IF(ISNUMBER(Charges!P57),MAX(0,Charges!P57),IFERROR(VLOOKUP(Charges!P57,Paramètres!$A$15:$B$18,2,FALSE),0))),0)),0)</f>
        <v>0</v>
      </c>
      <c r="P57" t="n">
        <f>IF(12&lt;=Paramètres!$B$9,MAX(0,IFERROR(N(IF(ISNUMBER(Charges!Q57),MAX(0,Charges!Q57),IFERROR(VLOOKUP(Charges!Q57,Paramètres!$A$15:$B$18,2,FALSE),0))),0)),0)</f>
        <v>0</v>
      </c>
      <c r="Q57" t="n">
        <f>IF(13&lt;=Paramètres!$B$9,MAX(0,IFERROR(N(IF(ISNUMBER(Charges!R57),MAX(0,Charges!R57),IFERROR(VLOOKUP(Charges!R57,Paramètres!$A$15:$B$18,2,FALSE),0))),0)),0)</f>
        <v>0</v>
      </c>
      <c r="R57" t="n">
        <f>SUM(E57:Q57)</f>
        <v>0</v>
      </c>
      <c r="S57" t="n">
        <f>IF(IFERROR(VLOOKUP(A57,'Projets'!$A$8:$Z$67,7,FALSE),"")="Engager",1,0)</f>
        <v>0</v>
      </c>
      <c r="T57" t="n">
        <f>IF(OR(Charges!F57="",AND(ISNUMBER(Charges!F57),Charges!F57&gt;=0),Charges!F57="S",Charges!F57="M",Charges!F57="L",Charges!F57="XL"),0,1)+IF(OR(Charges!G57="",AND(ISNUMBER(Charges!G57),Charges!G57&gt;=0),Charges!G57="S",Charges!G57="M",Charges!G57="L",Charges!G57="XL"),0,1)+IF(OR(Charges!H57="",AND(ISNUMBER(Charges!H57),Charges!H57&gt;=0),Charges!H57="S",Charges!H57="M",Charges!H57="L",Charges!H57="XL"),0,1)+IF(OR(Charges!I57="",AND(ISNUMBER(Charges!I57),Charges!I57&gt;=0),Charges!I57="S",Charges!I57="M",Charges!I57="L",Charges!I57="XL"),0,1)+IF(OR(Charges!J57="",AND(ISNUMBER(Charges!J57),Charges!J57&gt;=0),Charges!J57="S",Charges!J57="M",Charges!J57="L",Charges!J57="XL"),0,1)+IF(OR(Charges!K57="",AND(ISNUMBER(Charges!K57),Charges!K57&gt;=0),Charges!K57="S",Charges!K57="M",Charges!K57="L",Charges!K57="XL"),0,1)+IF(OR(Charges!L57="",AND(ISNUMBER(Charges!L57),Charges!L57&gt;=0),Charges!L57="S",Charges!L57="M",Charges!L57="L",Charges!L57="XL"),0,1)+IF(OR(Charges!M57="",AND(ISNUMBER(Charges!M57),Charges!M57&gt;=0),Charges!M57="S",Charges!M57="M",Charges!M57="L",Charges!M57="XL"),0,1)+IF(OR(Charges!N57="",AND(ISNUMBER(Charges!N57),Charges!N57&gt;=0),Charges!N57="S",Charges!N57="M",Charges!N57="L",Charges!N57="XL"),0,1)+IF(OR(Charges!O57="",AND(ISNUMBER(Charges!O57),Charges!O57&gt;=0),Charges!O57="S",Charges!O57="M",Charges!O57="L",Charges!O57="XL"),0,1)+IF(OR(Charges!P57="",AND(ISNUMBER(Charges!P57),Charges!P57&gt;=0),Charges!P57="S",Charges!P57="M",Charges!P57="L",Charges!P57="XL"),0,1)+IF(OR(Charges!Q57="",AND(ISNUMBER(Charges!Q57),Charges!Q57&gt;=0),Charges!Q57="S",Charges!Q57="M",Charges!Q57="L",Charges!Q57="XL"),0,1)+IF(OR(Charges!R57="",AND(ISNUMBER(Charges!R57),Charges!R57&gt;=0),Charges!R57="S",Charges!R57="M",Charges!R57="L",Charges!R57="XL"),0,1)</f>
        <v>0</v>
      </c>
      <c r="U57" t="n">
        <f>IF(AND(1&gt;Paramètres!$B$9,Charges!F57&lt;&gt;"",Charges!F57&lt;&gt;0),1,0)+IF(AND(2&gt;Paramètres!$B$9,Charges!G57&lt;&gt;"",Charges!G57&lt;&gt;0),1,0)+IF(AND(3&gt;Paramètres!$B$9,Charges!H57&lt;&gt;"",Charges!H57&lt;&gt;0),1,0)+IF(AND(4&gt;Paramètres!$B$9,Charges!I57&lt;&gt;"",Charges!I57&lt;&gt;0),1,0)+IF(AND(5&gt;Paramètres!$B$9,Charges!J57&lt;&gt;"",Charges!J57&lt;&gt;0),1,0)+IF(AND(6&gt;Paramètres!$B$9,Charges!K57&lt;&gt;"",Charges!K57&lt;&gt;0),1,0)+IF(AND(7&gt;Paramètres!$B$9,Charges!L57&lt;&gt;"",Charges!L57&lt;&gt;0),1,0)+IF(AND(8&gt;Paramètres!$B$9,Charges!M57&lt;&gt;"",Charges!M57&lt;&gt;0),1,0)+IF(AND(9&gt;Paramètres!$B$9,Charges!N57&lt;&gt;"",Charges!N57&lt;&gt;0),1,0)+IF(AND(10&gt;Paramètres!$B$9,Charges!O57&lt;&gt;"",Charges!O57&lt;&gt;0),1,0)+IF(AND(11&gt;Paramètres!$B$9,Charges!P57&lt;&gt;"",Charges!P57&lt;&gt;0),1,0)+IF(AND(12&gt;Paramètres!$B$9,Charges!Q57&lt;&gt;"",Charges!Q57&lt;&gt;0),1,0)+IF(AND(13&gt;Paramètres!$B$9,Charges!R57&lt;&gt;"",Charges!R57&lt;&gt;0),1,0)</f>
        <v>0</v>
      </c>
      <c r="V57" t="n">
        <f>IF(IFERROR(VLOOKUP(A57,'Projets'!$A$8:$Z$67,5,FALSE),"")="Engager",1,0)</f>
        <v>0</v>
      </c>
      <c r="W57" t="n">
        <f>IF(IFERROR(VLOOKUP(A57,'Projets'!$A$8:$Z$67,6,FALSE),"")="Engager",1,0)</f>
        <v>0</v>
      </c>
      <c r="X57" t="n">
        <f>E57*S57</f>
        <v>0</v>
      </c>
      <c r="Y57" t="n">
        <f>F57*S57</f>
        <v>0</v>
      </c>
      <c r="Z57" t="n">
        <f>G57*S57</f>
        <v>0</v>
      </c>
      <c r="AA57" t="n">
        <f>H57*S57</f>
        <v>0</v>
      </c>
      <c r="AB57" t="n">
        <f>I57*S57</f>
        <v>0</v>
      </c>
      <c r="AC57" t="n">
        <f>J57*S57</f>
        <v>0</v>
      </c>
      <c r="AD57" t="n">
        <f>K57*S57</f>
        <v>0</v>
      </c>
      <c r="AE57" t="n">
        <f>L57*S57</f>
        <v>0</v>
      </c>
      <c r="AF57" t="n">
        <f>M57*S57</f>
        <v>0</v>
      </c>
      <c r="AG57" t="n">
        <f>N57*S57</f>
        <v>0</v>
      </c>
      <c r="AH57" t="n">
        <f>O57*S57</f>
        <v>0</v>
      </c>
      <c r="AI57" t="n">
        <f>P57*S57</f>
        <v>0</v>
      </c>
      <c r="AJ57" t="n">
        <f>Q57*S57</f>
        <v>0</v>
      </c>
      <c r="AK57" t="n">
        <f>E57*V57</f>
        <v>0</v>
      </c>
      <c r="AL57" t="n">
        <f>F57*V57</f>
        <v>0</v>
      </c>
      <c r="AM57" t="n">
        <f>G57*V57</f>
        <v>0</v>
      </c>
      <c r="AN57" t="n">
        <f>H57*V57</f>
        <v>0</v>
      </c>
      <c r="AO57" t="n">
        <f>I57*V57</f>
        <v>0</v>
      </c>
      <c r="AP57" t="n">
        <f>J57*V57</f>
        <v>0</v>
      </c>
      <c r="AQ57" t="n">
        <f>K57*V57</f>
        <v>0</v>
      </c>
      <c r="AR57" t="n">
        <f>L57*V57</f>
        <v>0</v>
      </c>
      <c r="AS57" t="n">
        <f>M57*V57</f>
        <v>0</v>
      </c>
      <c r="AT57" t="n">
        <f>N57*V57</f>
        <v>0</v>
      </c>
      <c r="AU57" t="n">
        <f>O57*V57</f>
        <v>0</v>
      </c>
      <c r="AV57" t="n">
        <f>P57*V57</f>
        <v>0</v>
      </c>
      <c r="AW57" t="n">
        <f>Q57*V57</f>
        <v>0</v>
      </c>
      <c r="AX57" t="n">
        <f>E57*W57</f>
        <v>0</v>
      </c>
      <c r="AY57" t="n">
        <f>F57*W57</f>
        <v>0</v>
      </c>
      <c r="AZ57" t="n">
        <f>G57*W57</f>
        <v>0</v>
      </c>
      <c r="BA57" t="n">
        <f>H57*W57</f>
        <v>0</v>
      </c>
      <c r="BB57" t="n">
        <f>I57*W57</f>
        <v>0</v>
      </c>
      <c r="BC57" t="n">
        <f>J57*W57</f>
        <v>0</v>
      </c>
      <c r="BD57" t="n">
        <f>K57*W57</f>
        <v>0</v>
      </c>
      <c r="BE57" t="n">
        <f>L57*W57</f>
        <v>0</v>
      </c>
      <c r="BF57" t="n">
        <f>M57*W57</f>
        <v>0</v>
      </c>
      <c r="BG57" t="n">
        <f>N57*W57</f>
        <v>0</v>
      </c>
      <c r="BH57" t="n">
        <f>O57*W57</f>
        <v>0</v>
      </c>
      <c r="BI57" t="n">
        <f>P57*W57</f>
        <v>0</v>
      </c>
      <c r="BJ57" t="n">
        <f>Q57*W57</f>
        <v>0</v>
      </c>
      <c r="DM57" t="str">
        <f>IF(AND(Projets!A57&lt;&gt;"",Projets!G57="Engager"),DM56&amp;IF(DM56="","",", ")&amp;Projets!B57,DM56)</f>
        <v/>
      </c>
      <c r="DN57" t="str">
        <f>IF(AND(Projets!A57&lt;&gt;"",Projets!G57="Reporter"),DN56&amp;IF(DN56="","",", ")&amp;Projets!B57,DN56)</f>
        <v/>
      </c>
    </row>
    <row r="58">
      <c r="A58" t="n">
        <f>Charges!A58</f>
        <v>0</v>
      </c>
      <c r="B58" t="n">
        <f>Charges!C58</f>
        <v>0</v>
      </c>
      <c r="C58" t="str">
        <f>Charges!D58</f>
        <v/>
      </c>
      <c r="E58" t="n">
        <f>IF(1&lt;=Paramètres!$B$9,MAX(0,IFERROR(N(IF(ISNUMBER(Charges!F58),MAX(0,Charges!F58),IFERROR(VLOOKUP(Charges!F58,Paramètres!$A$15:$B$18,2,FALSE),0))),0)),0)</f>
        <v>0</v>
      </c>
      <c r="F58" t="n">
        <f>IF(2&lt;=Paramètres!$B$9,MAX(0,IFERROR(N(IF(ISNUMBER(Charges!G58),MAX(0,Charges!G58),IFERROR(VLOOKUP(Charges!G58,Paramètres!$A$15:$B$18,2,FALSE),0))),0)),0)</f>
        <v>0</v>
      </c>
      <c r="G58" t="n">
        <f>IF(3&lt;=Paramètres!$B$9,MAX(0,IFERROR(N(IF(ISNUMBER(Charges!H58),MAX(0,Charges!H58),IFERROR(VLOOKUP(Charges!H58,Paramètres!$A$15:$B$18,2,FALSE),0))),0)),0)</f>
        <v>0</v>
      </c>
      <c r="H58" t="n">
        <f>IF(4&lt;=Paramètres!$B$9,MAX(0,IFERROR(N(IF(ISNUMBER(Charges!I58),MAX(0,Charges!I58),IFERROR(VLOOKUP(Charges!I58,Paramètres!$A$15:$B$18,2,FALSE),0))),0)),0)</f>
        <v>0</v>
      </c>
      <c r="I58" t="n">
        <f>IF(5&lt;=Paramètres!$B$9,MAX(0,IFERROR(N(IF(ISNUMBER(Charges!J58),MAX(0,Charges!J58),IFERROR(VLOOKUP(Charges!J58,Paramètres!$A$15:$B$18,2,FALSE),0))),0)),0)</f>
        <v>0</v>
      </c>
      <c r="J58" t="n">
        <f>IF(6&lt;=Paramètres!$B$9,MAX(0,IFERROR(N(IF(ISNUMBER(Charges!K58),MAX(0,Charges!K58),IFERROR(VLOOKUP(Charges!K58,Paramètres!$A$15:$B$18,2,FALSE),0))),0)),0)</f>
        <v>0</v>
      </c>
      <c r="K58" t="n">
        <f>IF(7&lt;=Paramètres!$B$9,MAX(0,IFERROR(N(IF(ISNUMBER(Charges!L58),MAX(0,Charges!L58),IFERROR(VLOOKUP(Charges!L58,Paramètres!$A$15:$B$18,2,FALSE),0))),0)),0)</f>
        <v>0</v>
      </c>
      <c r="L58" t="n">
        <f>IF(8&lt;=Paramètres!$B$9,MAX(0,IFERROR(N(IF(ISNUMBER(Charges!M58),MAX(0,Charges!M58),IFERROR(VLOOKUP(Charges!M58,Paramètres!$A$15:$B$18,2,FALSE),0))),0)),0)</f>
        <v>0</v>
      </c>
      <c r="M58" t="n">
        <f>IF(9&lt;=Paramètres!$B$9,MAX(0,IFERROR(N(IF(ISNUMBER(Charges!N58),MAX(0,Charges!N58),IFERROR(VLOOKUP(Charges!N58,Paramètres!$A$15:$B$18,2,FALSE),0))),0)),0)</f>
        <v>0</v>
      </c>
      <c r="N58" t="n">
        <f>IF(10&lt;=Paramètres!$B$9,MAX(0,IFERROR(N(IF(ISNUMBER(Charges!O58),MAX(0,Charges!O58),IFERROR(VLOOKUP(Charges!O58,Paramètres!$A$15:$B$18,2,FALSE),0))),0)),0)</f>
        <v>0</v>
      </c>
      <c r="O58" t="n">
        <f>IF(11&lt;=Paramètres!$B$9,MAX(0,IFERROR(N(IF(ISNUMBER(Charges!P58),MAX(0,Charges!P58),IFERROR(VLOOKUP(Charges!P58,Paramètres!$A$15:$B$18,2,FALSE),0))),0)),0)</f>
        <v>0</v>
      </c>
      <c r="P58" t="n">
        <f>IF(12&lt;=Paramètres!$B$9,MAX(0,IFERROR(N(IF(ISNUMBER(Charges!Q58),MAX(0,Charges!Q58),IFERROR(VLOOKUP(Charges!Q58,Paramètres!$A$15:$B$18,2,FALSE),0))),0)),0)</f>
        <v>0</v>
      </c>
      <c r="Q58" t="n">
        <f>IF(13&lt;=Paramètres!$B$9,MAX(0,IFERROR(N(IF(ISNUMBER(Charges!R58),MAX(0,Charges!R58),IFERROR(VLOOKUP(Charges!R58,Paramètres!$A$15:$B$18,2,FALSE),0))),0)),0)</f>
        <v>0</v>
      </c>
      <c r="R58" t="n">
        <f>SUM(E58:Q58)</f>
        <v>0</v>
      </c>
      <c r="S58" t="n">
        <f>IF(IFERROR(VLOOKUP(A58,'Projets'!$A$8:$Z$67,7,FALSE),"")="Engager",1,0)</f>
        <v>0</v>
      </c>
      <c r="T58" t="n">
        <f>IF(OR(Charges!F58="",AND(ISNUMBER(Charges!F58),Charges!F58&gt;=0),Charges!F58="S",Charges!F58="M",Charges!F58="L",Charges!F58="XL"),0,1)+IF(OR(Charges!G58="",AND(ISNUMBER(Charges!G58),Charges!G58&gt;=0),Charges!G58="S",Charges!G58="M",Charges!G58="L",Charges!G58="XL"),0,1)+IF(OR(Charges!H58="",AND(ISNUMBER(Charges!H58),Charges!H58&gt;=0),Charges!H58="S",Charges!H58="M",Charges!H58="L",Charges!H58="XL"),0,1)+IF(OR(Charges!I58="",AND(ISNUMBER(Charges!I58),Charges!I58&gt;=0),Charges!I58="S",Charges!I58="M",Charges!I58="L",Charges!I58="XL"),0,1)+IF(OR(Charges!J58="",AND(ISNUMBER(Charges!J58),Charges!J58&gt;=0),Charges!J58="S",Charges!J58="M",Charges!J58="L",Charges!J58="XL"),0,1)+IF(OR(Charges!K58="",AND(ISNUMBER(Charges!K58),Charges!K58&gt;=0),Charges!K58="S",Charges!K58="M",Charges!K58="L",Charges!K58="XL"),0,1)+IF(OR(Charges!L58="",AND(ISNUMBER(Charges!L58),Charges!L58&gt;=0),Charges!L58="S",Charges!L58="M",Charges!L58="L",Charges!L58="XL"),0,1)+IF(OR(Charges!M58="",AND(ISNUMBER(Charges!M58),Charges!M58&gt;=0),Charges!M58="S",Charges!M58="M",Charges!M58="L",Charges!M58="XL"),0,1)+IF(OR(Charges!N58="",AND(ISNUMBER(Charges!N58),Charges!N58&gt;=0),Charges!N58="S",Charges!N58="M",Charges!N58="L",Charges!N58="XL"),0,1)+IF(OR(Charges!O58="",AND(ISNUMBER(Charges!O58),Charges!O58&gt;=0),Charges!O58="S",Charges!O58="M",Charges!O58="L",Charges!O58="XL"),0,1)+IF(OR(Charges!P58="",AND(ISNUMBER(Charges!P58),Charges!P58&gt;=0),Charges!P58="S",Charges!P58="M",Charges!P58="L",Charges!P58="XL"),0,1)+IF(OR(Charges!Q58="",AND(ISNUMBER(Charges!Q58),Charges!Q58&gt;=0),Charges!Q58="S",Charges!Q58="M",Charges!Q58="L",Charges!Q58="XL"),0,1)+IF(OR(Charges!R58="",AND(ISNUMBER(Charges!R58),Charges!R58&gt;=0),Charges!R58="S",Charges!R58="M",Charges!R58="L",Charges!R58="XL"),0,1)</f>
        <v>0</v>
      </c>
      <c r="U58" t="n">
        <f>IF(AND(1&gt;Paramètres!$B$9,Charges!F58&lt;&gt;"",Charges!F58&lt;&gt;0),1,0)+IF(AND(2&gt;Paramètres!$B$9,Charges!G58&lt;&gt;"",Charges!G58&lt;&gt;0),1,0)+IF(AND(3&gt;Paramètres!$B$9,Charges!H58&lt;&gt;"",Charges!H58&lt;&gt;0),1,0)+IF(AND(4&gt;Paramètres!$B$9,Charges!I58&lt;&gt;"",Charges!I58&lt;&gt;0),1,0)+IF(AND(5&gt;Paramètres!$B$9,Charges!J58&lt;&gt;"",Charges!J58&lt;&gt;0),1,0)+IF(AND(6&gt;Paramètres!$B$9,Charges!K58&lt;&gt;"",Charges!K58&lt;&gt;0),1,0)+IF(AND(7&gt;Paramètres!$B$9,Charges!L58&lt;&gt;"",Charges!L58&lt;&gt;0),1,0)+IF(AND(8&gt;Paramètres!$B$9,Charges!M58&lt;&gt;"",Charges!M58&lt;&gt;0),1,0)+IF(AND(9&gt;Paramètres!$B$9,Charges!N58&lt;&gt;"",Charges!N58&lt;&gt;0),1,0)+IF(AND(10&gt;Paramètres!$B$9,Charges!O58&lt;&gt;"",Charges!O58&lt;&gt;0),1,0)+IF(AND(11&gt;Paramètres!$B$9,Charges!P58&lt;&gt;"",Charges!P58&lt;&gt;0),1,0)+IF(AND(12&gt;Paramètres!$B$9,Charges!Q58&lt;&gt;"",Charges!Q58&lt;&gt;0),1,0)+IF(AND(13&gt;Paramètres!$B$9,Charges!R58&lt;&gt;"",Charges!R58&lt;&gt;0),1,0)</f>
        <v>0</v>
      </c>
      <c r="V58" t="n">
        <f>IF(IFERROR(VLOOKUP(A58,'Projets'!$A$8:$Z$67,5,FALSE),"")="Engager",1,0)</f>
        <v>0</v>
      </c>
      <c r="W58" t="n">
        <f>IF(IFERROR(VLOOKUP(A58,'Projets'!$A$8:$Z$67,6,FALSE),"")="Engager",1,0)</f>
        <v>0</v>
      </c>
      <c r="X58" t="n">
        <f>E58*S58</f>
        <v>0</v>
      </c>
      <c r="Y58" t="n">
        <f>F58*S58</f>
        <v>0</v>
      </c>
      <c r="Z58" t="n">
        <f>G58*S58</f>
        <v>0</v>
      </c>
      <c r="AA58" t="n">
        <f>H58*S58</f>
        <v>0</v>
      </c>
      <c r="AB58" t="n">
        <f>I58*S58</f>
        <v>0</v>
      </c>
      <c r="AC58" t="n">
        <f>J58*S58</f>
        <v>0</v>
      </c>
      <c r="AD58" t="n">
        <f>K58*S58</f>
        <v>0</v>
      </c>
      <c r="AE58" t="n">
        <f>L58*S58</f>
        <v>0</v>
      </c>
      <c r="AF58" t="n">
        <f>M58*S58</f>
        <v>0</v>
      </c>
      <c r="AG58" t="n">
        <f>N58*S58</f>
        <v>0</v>
      </c>
      <c r="AH58" t="n">
        <f>O58*S58</f>
        <v>0</v>
      </c>
      <c r="AI58" t="n">
        <f>P58*S58</f>
        <v>0</v>
      </c>
      <c r="AJ58" t="n">
        <f>Q58*S58</f>
        <v>0</v>
      </c>
      <c r="AK58" t="n">
        <f>E58*V58</f>
        <v>0</v>
      </c>
      <c r="AL58" t="n">
        <f>F58*V58</f>
        <v>0</v>
      </c>
      <c r="AM58" t="n">
        <f>G58*V58</f>
        <v>0</v>
      </c>
      <c r="AN58" t="n">
        <f>H58*V58</f>
        <v>0</v>
      </c>
      <c r="AO58" t="n">
        <f>I58*V58</f>
        <v>0</v>
      </c>
      <c r="AP58" t="n">
        <f>J58*V58</f>
        <v>0</v>
      </c>
      <c r="AQ58" t="n">
        <f>K58*V58</f>
        <v>0</v>
      </c>
      <c r="AR58" t="n">
        <f>L58*V58</f>
        <v>0</v>
      </c>
      <c r="AS58" t="n">
        <f>M58*V58</f>
        <v>0</v>
      </c>
      <c r="AT58" t="n">
        <f>N58*V58</f>
        <v>0</v>
      </c>
      <c r="AU58" t="n">
        <f>O58*V58</f>
        <v>0</v>
      </c>
      <c r="AV58" t="n">
        <f>P58*V58</f>
        <v>0</v>
      </c>
      <c r="AW58" t="n">
        <f>Q58*V58</f>
        <v>0</v>
      </c>
      <c r="AX58" t="n">
        <f>E58*W58</f>
        <v>0</v>
      </c>
      <c r="AY58" t="n">
        <f>F58*W58</f>
        <v>0</v>
      </c>
      <c r="AZ58" t="n">
        <f>G58*W58</f>
        <v>0</v>
      </c>
      <c r="BA58" t="n">
        <f>H58*W58</f>
        <v>0</v>
      </c>
      <c r="BB58" t="n">
        <f>I58*W58</f>
        <v>0</v>
      </c>
      <c r="BC58" t="n">
        <f>J58*W58</f>
        <v>0</v>
      </c>
      <c r="BD58" t="n">
        <f>K58*W58</f>
        <v>0</v>
      </c>
      <c r="BE58" t="n">
        <f>L58*W58</f>
        <v>0</v>
      </c>
      <c r="BF58" t="n">
        <f>M58*W58</f>
        <v>0</v>
      </c>
      <c r="BG58" t="n">
        <f>N58*W58</f>
        <v>0</v>
      </c>
      <c r="BH58" t="n">
        <f>O58*W58</f>
        <v>0</v>
      </c>
      <c r="BI58" t="n">
        <f>P58*W58</f>
        <v>0</v>
      </c>
      <c r="BJ58" t="n">
        <f>Q58*W58</f>
        <v>0</v>
      </c>
      <c r="DM58" t="str">
        <f>IF(AND(Projets!A58&lt;&gt;"",Projets!G58="Engager"),DM57&amp;IF(DM57="","",", ")&amp;Projets!B58,DM57)</f>
        <v/>
      </c>
      <c r="DN58" t="str">
        <f>IF(AND(Projets!A58&lt;&gt;"",Projets!G58="Reporter"),DN57&amp;IF(DN57="","",", ")&amp;Projets!B58,DN57)</f>
        <v/>
      </c>
    </row>
    <row r="59">
      <c r="A59" t="n">
        <f>Charges!A59</f>
        <v>0</v>
      </c>
      <c r="B59" t="n">
        <f>Charges!C59</f>
        <v>0</v>
      </c>
      <c r="C59" t="str">
        <f>Charges!D59</f>
        <v/>
      </c>
      <c r="E59" t="n">
        <f>IF(1&lt;=Paramètres!$B$9,MAX(0,IFERROR(N(IF(ISNUMBER(Charges!F59),MAX(0,Charges!F59),IFERROR(VLOOKUP(Charges!F59,Paramètres!$A$15:$B$18,2,FALSE),0))),0)),0)</f>
        <v>0</v>
      </c>
      <c r="F59" t="n">
        <f>IF(2&lt;=Paramètres!$B$9,MAX(0,IFERROR(N(IF(ISNUMBER(Charges!G59),MAX(0,Charges!G59),IFERROR(VLOOKUP(Charges!G59,Paramètres!$A$15:$B$18,2,FALSE),0))),0)),0)</f>
        <v>0</v>
      </c>
      <c r="G59" t="n">
        <f>IF(3&lt;=Paramètres!$B$9,MAX(0,IFERROR(N(IF(ISNUMBER(Charges!H59),MAX(0,Charges!H59),IFERROR(VLOOKUP(Charges!H59,Paramètres!$A$15:$B$18,2,FALSE),0))),0)),0)</f>
        <v>0</v>
      </c>
      <c r="H59" t="n">
        <f>IF(4&lt;=Paramètres!$B$9,MAX(0,IFERROR(N(IF(ISNUMBER(Charges!I59),MAX(0,Charges!I59),IFERROR(VLOOKUP(Charges!I59,Paramètres!$A$15:$B$18,2,FALSE),0))),0)),0)</f>
        <v>0</v>
      </c>
      <c r="I59" t="n">
        <f>IF(5&lt;=Paramètres!$B$9,MAX(0,IFERROR(N(IF(ISNUMBER(Charges!J59),MAX(0,Charges!J59),IFERROR(VLOOKUP(Charges!J59,Paramètres!$A$15:$B$18,2,FALSE),0))),0)),0)</f>
        <v>0</v>
      </c>
      <c r="J59" t="n">
        <f>IF(6&lt;=Paramètres!$B$9,MAX(0,IFERROR(N(IF(ISNUMBER(Charges!K59),MAX(0,Charges!K59),IFERROR(VLOOKUP(Charges!K59,Paramètres!$A$15:$B$18,2,FALSE),0))),0)),0)</f>
        <v>0</v>
      </c>
      <c r="K59" t="n">
        <f>IF(7&lt;=Paramètres!$B$9,MAX(0,IFERROR(N(IF(ISNUMBER(Charges!L59),MAX(0,Charges!L59),IFERROR(VLOOKUP(Charges!L59,Paramètres!$A$15:$B$18,2,FALSE),0))),0)),0)</f>
        <v>0</v>
      </c>
      <c r="L59" t="n">
        <f>IF(8&lt;=Paramètres!$B$9,MAX(0,IFERROR(N(IF(ISNUMBER(Charges!M59),MAX(0,Charges!M59),IFERROR(VLOOKUP(Charges!M59,Paramètres!$A$15:$B$18,2,FALSE),0))),0)),0)</f>
        <v>0</v>
      </c>
      <c r="M59" t="n">
        <f>IF(9&lt;=Paramètres!$B$9,MAX(0,IFERROR(N(IF(ISNUMBER(Charges!N59),MAX(0,Charges!N59),IFERROR(VLOOKUP(Charges!N59,Paramètres!$A$15:$B$18,2,FALSE),0))),0)),0)</f>
        <v>0</v>
      </c>
      <c r="N59" t="n">
        <f>IF(10&lt;=Paramètres!$B$9,MAX(0,IFERROR(N(IF(ISNUMBER(Charges!O59),MAX(0,Charges!O59),IFERROR(VLOOKUP(Charges!O59,Paramètres!$A$15:$B$18,2,FALSE),0))),0)),0)</f>
        <v>0</v>
      </c>
      <c r="O59" t="n">
        <f>IF(11&lt;=Paramètres!$B$9,MAX(0,IFERROR(N(IF(ISNUMBER(Charges!P59),MAX(0,Charges!P59),IFERROR(VLOOKUP(Charges!P59,Paramètres!$A$15:$B$18,2,FALSE),0))),0)),0)</f>
        <v>0</v>
      </c>
      <c r="P59" t="n">
        <f>IF(12&lt;=Paramètres!$B$9,MAX(0,IFERROR(N(IF(ISNUMBER(Charges!Q59),MAX(0,Charges!Q59),IFERROR(VLOOKUP(Charges!Q59,Paramètres!$A$15:$B$18,2,FALSE),0))),0)),0)</f>
        <v>0</v>
      </c>
      <c r="Q59" t="n">
        <f>IF(13&lt;=Paramètres!$B$9,MAX(0,IFERROR(N(IF(ISNUMBER(Charges!R59),MAX(0,Charges!R59),IFERROR(VLOOKUP(Charges!R59,Paramètres!$A$15:$B$18,2,FALSE),0))),0)),0)</f>
        <v>0</v>
      </c>
      <c r="R59" t="n">
        <f>SUM(E59:Q59)</f>
        <v>0</v>
      </c>
      <c r="S59" t="n">
        <f>IF(IFERROR(VLOOKUP(A59,'Projets'!$A$8:$Z$67,7,FALSE),"")="Engager",1,0)</f>
        <v>0</v>
      </c>
      <c r="T59" t="n">
        <f>IF(OR(Charges!F59="",AND(ISNUMBER(Charges!F59),Charges!F59&gt;=0),Charges!F59="S",Charges!F59="M",Charges!F59="L",Charges!F59="XL"),0,1)+IF(OR(Charges!G59="",AND(ISNUMBER(Charges!G59),Charges!G59&gt;=0),Charges!G59="S",Charges!G59="M",Charges!G59="L",Charges!G59="XL"),0,1)+IF(OR(Charges!H59="",AND(ISNUMBER(Charges!H59),Charges!H59&gt;=0),Charges!H59="S",Charges!H59="M",Charges!H59="L",Charges!H59="XL"),0,1)+IF(OR(Charges!I59="",AND(ISNUMBER(Charges!I59),Charges!I59&gt;=0),Charges!I59="S",Charges!I59="M",Charges!I59="L",Charges!I59="XL"),0,1)+IF(OR(Charges!J59="",AND(ISNUMBER(Charges!J59),Charges!J59&gt;=0),Charges!J59="S",Charges!J59="M",Charges!J59="L",Charges!J59="XL"),0,1)+IF(OR(Charges!K59="",AND(ISNUMBER(Charges!K59),Charges!K59&gt;=0),Charges!K59="S",Charges!K59="M",Charges!K59="L",Charges!K59="XL"),0,1)+IF(OR(Charges!L59="",AND(ISNUMBER(Charges!L59),Charges!L59&gt;=0),Charges!L59="S",Charges!L59="M",Charges!L59="L",Charges!L59="XL"),0,1)+IF(OR(Charges!M59="",AND(ISNUMBER(Charges!M59),Charges!M59&gt;=0),Charges!M59="S",Charges!M59="M",Charges!M59="L",Charges!M59="XL"),0,1)+IF(OR(Charges!N59="",AND(ISNUMBER(Charges!N59),Charges!N59&gt;=0),Charges!N59="S",Charges!N59="M",Charges!N59="L",Charges!N59="XL"),0,1)+IF(OR(Charges!O59="",AND(ISNUMBER(Charges!O59),Charges!O59&gt;=0),Charges!O59="S",Charges!O59="M",Charges!O59="L",Charges!O59="XL"),0,1)+IF(OR(Charges!P59="",AND(ISNUMBER(Charges!P59),Charges!P59&gt;=0),Charges!P59="S",Charges!P59="M",Charges!P59="L",Charges!P59="XL"),0,1)+IF(OR(Charges!Q59="",AND(ISNUMBER(Charges!Q59),Charges!Q59&gt;=0),Charges!Q59="S",Charges!Q59="M",Charges!Q59="L",Charges!Q59="XL"),0,1)+IF(OR(Charges!R59="",AND(ISNUMBER(Charges!R59),Charges!R59&gt;=0),Charges!R59="S",Charges!R59="M",Charges!R59="L",Charges!R59="XL"),0,1)</f>
        <v>0</v>
      </c>
      <c r="U59" t="n">
        <f>IF(AND(1&gt;Paramètres!$B$9,Charges!F59&lt;&gt;"",Charges!F59&lt;&gt;0),1,0)+IF(AND(2&gt;Paramètres!$B$9,Charges!G59&lt;&gt;"",Charges!G59&lt;&gt;0),1,0)+IF(AND(3&gt;Paramètres!$B$9,Charges!H59&lt;&gt;"",Charges!H59&lt;&gt;0),1,0)+IF(AND(4&gt;Paramètres!$B$9,Charges!I59&lt;&gt;"",Charges!I59&lt;&gt;0),1,0)+IF(AND(5&gt;Paramètres!$B$9,Charges!J59&lt;&gt;"",Charges!J59&lt;&gt;0),1,0)+IF(AND(6&gt;Paramètres!$B$9,Charges!K59&lt;&gt;"",Charges!K59&lt;&gt;0),1,0)+IF(AND(7&gt;Paramètres!$B$9,Charges!L59&lt;&gt;"",Charges!L59&lt;&gt;0),1,0)+IF(AND(8&gt;Paramètres!$B$9,Charges!M59&lt;&gt;"",Charges!M59&lt;&gt;0),1,0)+IF(AND(9&gt;Paramètres!$B$9,Charges!N59&lt;&gt;"",Charges!N59&lt;&gt;0),1,0)+IF(AND(10&gt;Paramètres!$B$9,Charges!O59&lt;&gt;"",Charges!O59&lt;&gt;0),1,0)+IF(AND(11&gt;Paramètres!$B$9,Charges!P59&lt;&gt;"",Charges!P59&lt;&gt;0),1,0)+IF(AND(12&gt;Paramètres!$B$9,Charges!Q59&lt;&gt;"",Charges!Q59&lt;&gt;0),1,0)+IF(AND(13&gt;Paramètres!$B$9,Charges!R59&lt;&gt;"",Charges!R59&lt;&gt;0),1,0)</f>
        <v>0</v>
      </c>
      <c r="V59" t="n">
        <f>IF(IFERROR(VLOOKUP(A59,'Projets'!$A$8:$Z$67,5,FALSE),"")="Engager",1,0)</f>
        <v>0</v>
      </c>
      <c r="W59" t="n">
        <f>IF(IFERROR(VLOOKUP(A59,'Projets'!$A$8:$Z$67,6,FALSE),"")="Engager",1,0)</f>
        <v>0</v>
      </c>
      <c r="X59" t="n">
        <f>E59*S59</f>
        <v>0</v>
      </c>
      <c r="Y59" t="n">
        <f>F59*S59</f>
        <v>0</v>
      </c>
      <c r="Z59" t="n">
        <f>G59*S59</f>
        <v>0</v>
      </c>
      <c r="AA59" t="n">
        <f>H59*S59</f>
        <v>0</v>
      </c>
      <c r="AB59" t="n">
        <f>I59*S59</f>
        <v>0</v>
      </c>
      <c r="AC59" t="n">
        <f>J59*S59</f>
        <v>0</v>
      </c>
      <c r="AD59" t="n">
        <f>K59*S59</f>
        <v>0</v>
      </c>
      <c r="AE59" t="n">
        <f>L59*S59</f>
        <v>0</v>
      </c>
      <c r="AF59" t="n">
        <f>M59*S59</f>
        <v>0</v>
      </c>
      <c r="AG59" t="n">
        <f>N59*S59</f>
        <v>0</v>
      </c>
      <c r="AH59" t="n">
        <f>O59*S59</f>
        <v>0</v>
      </c>
      <c r="AI59" t="n">
        <f>P59*S59</f>
        <v>0</v>
      </c>
      <c r="AJ59" t="n">
        <f>Q59*S59</f>
        <v>0</v>
      </c>
      <c r="AK59" t="n">
        <f>E59*V59</f>
        <v>0</v>
      </c>
      <c r="AL59" t="n">
        <f>F59*V59</f>
        <v>0</v>
      </c>
      <c r="AM59" t="n">
        <f>G59*V59</f>
        <v>0</v>
      </c>
      <c r="AN59" t="n">
        <f>H59*V59</f>
        <v>0</v>
      </c>
      <c r="AO59" t="n">
        <f>I59*V59</f>
        <v>0</v>
      </c>
      <c r="AP59" t="n">
        <f>J59*V59</f>
        <v>0</v>
      </c>
      <c r="AQ59" t="n">
        <f>K59*V59</f>
        <v>0</v>
      </c>
      <c r="AR59" t="n">
        <f>L59*V59</f>
        <v>0</v>
      </c>
      <c r="AS59" t="n">
        <f>M59*V59</f>
        <v>0</v>
      </c>
      <c r="AT59" t="n">
        <f>N59*V59</f>
        <v>0</v>
      </c>
      <c r="AU59" t="n">
        <f>O59*V59</f>
        <v>0</v>
      </c>
      <c r="AV59" t="n">
        <f>P59*V59</f>
        <v>0</v>
      </c>
      <c r="AW59" t="n">
        <f>Q59*V59</f>
        <v>0</v>
      </c>
      <c r="AX59" t="n">
        <f>E59*W59</f>
        <v>0</v>
      </c>
      <c r="AY59" t="n">
        <f>F59*W59</f>
        <v>0</v>
      </c>
      <c r="AZ59" t="n">
        <f>G59*W59</f>
        <v>0</v>
      </c>
      <c r="BA59" t="n">
        <f>H59*W59</f>
        <v>0</v>
      </c>
      <c r="BB59" t="n">
        <f>I59*W59</f>
        <v>0</v>
      </c>
      <c r="BC59" t="n">
        <f>J59*W59</f>
        <v>0</v>
      </c>
      <c r="BD59" t="n">
        <f>K59*W59</f>
        <v>0</v>
      </c>
      <c r="BE59" t="n">
        <f>L59*W59</f>
        <v>0</v>
      </c>
      <c r="BF59" t="n">
        <f>M59*W59</f>
        <v>0</v>
      </c>
      <c r="BG59" t="n">
        <f>N59*W59</f>
        <v>0</v>
      </c>
      <c r="BH59" t="n">
        <f>O59*W59</f>
        <v>0</v>
      </c>
      <c r="BI59" t="n">
        <f>P59*W59</f>
        <v>0</v>
      </c>
      <c r="BJ59" t="n">
        <f>Q59*W59</f>
        <v>0</v>
      </c>
      <c r="DM59" t="str">
        <f>IF(AND(Projets!A59&lt;&gt;"",Projets!G59="Engager"),DM58&amp;IF(DM58="","",", ")&amp;Projets!B59,DM58)</f>
        <v/>
      </c>
      <c r="DN59" t="str">
        <f>IF(AND(Projets!A59&lt;&gt;"",Projets!G59="Reporter"),DN58&amp;IF(DN58="","",", ")&amp;Projets!B59,DN58)</f>
        <v/>
      </c>
    </row>
    <row r="60">
      <c r="A60" t="n">
        <f>Charges!A60</f>
        <v>0</v>
      </c>
      <c r="B60" t="n">
        <f>Charges!C60</f>
        <v>0</v>
      </c>
      <c r="C60" t="str">
        <f>Charges!D60</f>
        <v/>
      </c>
      <c r="E60" t="n">
        <f>IF(1&lt;=Paramètres!$B$9,MAX(0,IFERROR(N(IF(ISNUMBER(Charges!F60),MAX(0,Charges!F60),IFERROR(VLOOKUP(Charges!F60,Paramètres!$A$15:$B$18,2,FALSE),0))),0)),0)</f>
        <v>0</v>
      </c>
      <c r="F60" t="n">
        <f>IF(2&lt;=Paramètres!$B$9,MAX(0,IFERROR(N(IF(ISNUMBER(Charges!G60),MAX(0,Charges!G60),IFERROR(VLOOKUP(Charges!G60,Paramètres!$A$15:$B$18,2,FALSE),0))),0)),0)</f>
        <v>0</v>
      </c>
      <c r="G60" t="n">
        <f>IF(3&lt;=Paramètres!$B$9,MAX(0,IFERROR(N(IF(ISNUMBER(Charges!H60),MAX(0,Charges!H60),IFERROR(VLOOKUP(Charges!H60,Paramètres!$A$15:$B$18,2,FALSE),0))),0)),0)</f>
        <v>0</v>
      </c>
      <c r="H60" t="n">
        <f>IF(4&lt;=Paramètres!$B$9,MAX(0,IFERROR(N(IF(ISNUMBER(Charges!I60),MAX(0,Charges!I60),IFERROR(VLOOKUP(Charges!I60,Paramètres!$A$15:$B$18,2,FALSE),0))),0)),0)</f>
        <v>0</v>
      </c>
      <c r="I60" t="n">
        <f>IF(5&lt;=Paramètres!$B$9,MAX(0,IFERROR(N(IF(ISNUMBER(Charges!J60),MAX(0,Charges!J60),IFERROR(VLOOKUP(Charges!J60,Paramètres!$A$15:$B$18,2,FALSE),0))),0)),0)</f>
        <v>0</v>
      </c>
      <c r="J60" t="n">
        <f>IF(6&lt;=Paramètres!$B$9,MAX(0,IFERROR(N(IF(ISNUMBER(Charges!K60),MAX(0,Charges!K60),IFERROR(VLOOKUP(Charges!K60,Paramètres!$A$15:$B$18,2,FALSE),0))),0)),0)</f>
        <v>0</v>
      </c>
      <c r="K60" t="n">
        <f>IF(7&lt;=Paramètres!$B$9,MAX(0,IFERROR(N(IF(ISNUMBER(Charges!L60),MAX(0,Charges!L60),IFERROR(VLOOKUP(Charges!L60,Paramètres!$A$15:$B$18,2,FALSE),0))),0)),0)</f>
        <v>0</v>
      </c>
      <c r="L60" t="n">
        <f>IF(8&lt;=Paramètres!$B$9,MAX(0,IFERROR(N(IF(ISNUMBER(Charges!M60),MAX(0,Charges!M60),IFERROR(VLOOKUP(Charges!M60,Paramètres!$A$15:$B$18,2,FALSE),0))),0)),0)</f>
        <v>0</v>
      </c>
      <c r="M60" t="n">
        <f>IF(9&lt;=Paramètres!$B$9,MAX(0,IFERROR(N(IF(ISNUMBER(Charges!N60),MAX(0,Charges!N60),IFERROR(VLOOKUP(Charges!N60,Paramètres!$A$15:$B$18,2,FALSE),0))),0)),0)</f>
        <v>0</v>
      </c>
      <c r="N60" t="n">
        <f>IF(10&lt;=Paramètres!$B$9,MAX(0,IFERROR(N(IF(ISNUMBER(Charges!O60),MAX(0,Charges!O60),IFERROR(VLOOKUP(Charges!O60,Paramètres!$A$15:$B$18,2,FALSE),0))),0)),0)</f>
        <v>0</v>
      </c>
      <c r="O60" t="n">
        <f>IF(11&lt;=Paramètres!$B$9,MAX(0,IFERROR(N(IF(ISNUMBER(Charges!P60),MAX(0,Charges!P60),IFERROR(VLOOKUP(Charges!P60,Paramètres!$A$15:$B$18,2,FALSE),0))),0)),0)</f>
        <v>0</v>
      </c>
      <c r="P60" t="n">
        <f>IF(12&lt;=Paramètres!$B$9,MAX(0,IFERROR(N(IF(ISNUMBER(Charges!Q60),MAX(0,Charges!Q60),IFERROR(VLOOKUP(Charges!Q60,Paramètres!$A$15:$B$18,2,FALSE),0))),0)),0)</f>
        <v>0</v>
      </c>
      <c r="Q60" t="n">
        <f>IF(13&lt;=Paramètres!$B$9,MAX(0,IFERROR(N(IF(ISNUMBER(Charges!R60),MAX(0,Charges!R60),IFERROR(VLOOKUP(Charges!R60,Paramètres!$A$15:$B$18,2,FALSE),0))),0)),0)</f>
        <v>0</v>
      </c>
      <c r="R60" t="n">
        <f>SUM(E60:Q60)</f>
        <v>0</v>
      </c>
      <c r="S60" t="n">
        <f>IF(IFERROR(VLOOKUP(A60,'Projets'!$A$8:$Z$67,7,FALSE),"")="Engager",1,0)</f>
        <v>0</v>
      </c>
      <c r="T60" t="n">
        <f>IF(OR(Charges!F60="",AND(ISNUMBER(Charges!F60),Charges!F60&gt;=0),Charges!F60="S",Charges!F60="M",Charges!F60="L",Charges!F60="XL"),0,1)+IF(OR(Charges!G60="",AND(ISNUMBER(Charges!G60),Charges!G60&gt;=0),Charges!G60="S",Charges!G60="M",Charges!G60="L",Charges!G60="XL"),0,1)+IF(OR(Charges!H60="",AND(ISNUMBER(Charges!H60),Charges!H60&gt;=0),Charges!H60="S",Charges!H60="M",Charges!H60="L",Charges!H60="XL"),0,1)+IF(OR(Charges!I60="",AND(ISNUMBER(Charges!I60),Charges!I60&gt;=0),Charges!I60="S",Charges!I60="M",Charges!I60="L",Charges!I60="XL"),0,1)+IF(OR(Charges!J60="",AND(ISNUMBER(Charges!J60),Charges!J60&gt;=0),Charges!J60="S",Charges!J60="M",Charges!J60="L",Charges!J60="XL"),0,1)+IF(OR(Charges!K60="",AND(ISNUMBER(Charges!K60),Charges!K60&gt;=0),Charges!K60="S",Charges!K60="M",Charges!K60="L",Charges!K60="XL"),0,1)+IF(OR(Charges!L60="",AND(ISNUMBER(Charges!L60),Charges!L60&gt;=0),Charges!L60="S",Charges!L60="M",Charges!L60="L",Charges!L60="XL"),0,1)+IF(OR(Charges!M60="",AND(ISNUMBER(Charges!M60),Charges!M60&gt;=0),Charges!M60="S",Charges!M60="M",Charges!M60="L",Charges!M60="XL"),0,1)+IF(OR(Charges!N60="",AND(ISNUMBER(Charges!N60),Charges!N60&gt;=0),Charges!N60="S",Charges!N60="M",Charges!N60="L",Charges!N60="XL"),0,1)+IF(OR(Charges!O60="",AND(ISNUMBER(Charges!O60),Charges!O60&gt;=0),Charges!O60="S",Charges!O60="M",Charges!O60="L",Charges!O60="XL"),0,1)+IF(OR(Charges!P60="",AND(ISNUMBER(Charges!P60),Charges!P60&gt;=0),Charges!P60="S",Charges!P60="M",Charges!P60="L",Charges!P60="XL"),0,1)+IF(OR(Charges!Q60="",AND(ISNUMBER(Charges!Q60),Charges!Q60&gt;=0),Charges!Q60="S",Charges!Q60="M",Charges!Q60="L",Charges!Q60="XL"),0,1)+IF(OR(Charges!R60="",AND(ISNUMBER(Charges!R60),Charges!R60&gt;=0),Charges!R60="S",Charges!R60="M",Charges!R60="L",Charges!R60="XL"),0,1)</f>
        <v>0</v>
      </c>
      <c r="U60" t="n">
        <f>IF(AND(1&gt;Paramètres!$B$9,Charges!F60&lt;&gt;"",Charges!F60&lt;&gt;0),1,0)+IF(AND(2&gt;Paramètres!$B$9,Charges!G60&lt;&gt;"",Charges!G60&lt;&gt;0),1,0)+IF(AND(3&gt;Paramètres!$B$9,Charges!H60&lt;&gt;"",Charges!H60&lt;&gt;0),1,0)+IF(AND(4&gt;Paramètres!$B$9,Charges!I60&lt;&gt;"",Charges!I60&lt;&gt;0),1,0)+IF(AND(5&gt;Paramètres!$B$9,Charges!J60&lt;&gt;"",Charges!J60&lt;&gt;0),1,0)+IF(AND(6&gt;Paramètres!$B$9,Charges!K60&lt;&gt;"",Charges!K60&lt;&gt;0),1,0)+IF(AND(7&gt;Paramètres!$B$9,Charges!L60&lt;&gt;"",Charges!L60&lt;&gt;0),1,0)+IF(AND(8&gt;Paramètres!$B$9,Charges!M60&lt;&gt;"",Charges!M60&lt;&gt;0),1,0)+IF(AND(9&gt;Paramètres!$B$9,Charges!N60&lt;&gt;"",Charges!N60&lt;&gt;0),1,0)+IF(AND(10&gt;Paramètres!$B$9,Charges!O60&lt;&gt;"",Charges!O60&lt;&gt;0),1,0)+IF(AND(11&gt;Paramètres!$B$9,Charges!P60&lt;&gt;"",Charges!P60&lt;&gt;0),1,0)+IF(AND(12&gt;Paramètres!$B$9,Charges!Q60&lt;&gt;"",Charges!Q60&lt;&gt;0),1,0)+IF(AND(13&gt;Paramètres!$B$9,Charges!R60&lt;&gt;"",Charges!R60&lt;&gt;0),1,0)</f>
        <v>0</v>
      </c>
      <c r="V60" t="n">
        <f>IF(IFERROR(VLOOKUP(A60,'Projets'!$A$8:$Z$67,5,FALSE),"")="Engager",1,0)</f>
        <v>0</v>
      </c>
      <c r="W60" t="n">
        <f>IF(IFERROR(VLOOKUP(A60,'Projets'!$A$8:$Z$67,6,FALSE),"")="Engager",1,0)</f>
        <v>0</v>
      </c>
      <c r="X60" t="n">
        <f>E60*S60</f>
        <v>0</v>
      </c>
      <c r="Y60" t="n">
        <f>F60*S60</f>
        <v>0</v>
      </c>
      <c r="Z60" t="n">
        <f>G60*S60</f>
        <v>0</v>
      </c>
      <c r="AA60" t="n">
        <f>H60*S60</f>
        <v>0</v>
      </c>
      <c r="AB60" t="n">
        <f>I60*S60</f>
        <v>0</v>
      </c>
      <c r="AC60" t="n">
        <f>J60*S60</f>
        <v>0</v>
      </c>
      <c r="AD60" t="n">
        <f>K60*S60</f>
        <v>0</v>
      </c>
      <c r="AE60" t="n">
        <f>L60*S60</f>
        <v>0</v>
      </c>
      <c r="AF60" t="n">
        <f>M60*S60</f>
        <v>0</v>
      </c>
      <c r="AG60" t="n">
        <f>N60*S60</f>
        <v>0</v>
      </c>
      <c r="AH60" t="n">
        <f>O60*S60</f>
        <v>0</v>
      </c>
      <c r="AI60" t="n">
        <f>P60*S60</f>
        <v>0</v>
      </c>
      <c r="AJ60" t="n">
        <f>Q60*S60</f>
        <v>0</v>
      </c>
      <c r="AK60" t="n">
        <f>E60*V60</f>
        <v>0</v>
      </c>
      <c r="AL60" t="n">
        <f>F60*V60</f>
        <v>0</v>
      </c>
      <c r="AM60" t="n">
        <f>G60*V60</f>
        <v>0</v>
      </c>
      <c r="AN60" t="n">
        <f>H60*V60</f>
        <v>0</v>
      </c>
      <c r="AO60" t="n">
        <f>I60*V60</f>
        <v>0</v>
      </c>
      <c r="AP60" t="n">
        <f>J60*V60</f>
        <v>0</v>
      </c>
      <c r="AQ60" t="n">
        <f>K60*V60</f>
        <v>0</v>
      </c>
      <c r="AR60" t="n">
        <f>L60*V60</f>
        <v>0</v>
      </c>
      <c r="AS60" t="n">
        <f>M60*V60</f>
        <v>0</v>
      </c>
      <c r="AT60" t="n">
        <f>N60*V60</f>
        <v>0</v>
      </c>
      <c r="AU60" t="n">
        <f>O60*V60</f>
        <v>0</v>
      </c>
      <c r="AV60" t="n">
        <f>P60*V60</f>
        <v>0</v>
      </c>
      <c r="AW60" t="n">
        <f>Q60*V60</f>
        <v>0</v>
      </c>
      <c r="AX60" t="n">
        <f>E60*W60</f>
        <v>0</v>
      </c>
      <c r="AY60" t="n">
        <f>F60*W60</f>
        <v>0</v>
      </c>
      <c r="AZ60" t="n">
        <f>G60*W60</f>
        <v>0</v>
      </c>
      <c r="BA60" t="n">
        <f>H60*W60</f>
        <v>0</v>
      </c>
      <c r="BB60" t="n">
        <f>I60*W60</f>
        <v>0</v>
      </c>
      <c r="BC60" t="n">
        <f>J60*W60</f>
        <v>0</v>
      </c>
      <c r="BD60" t="n">
        <f>K60*W60</f>
        <v>0</v>
      </c>
      <c r="BE60" t="n">
        <f>L60*W60</f>
        <v>0</v>
      </c>
      <c r="BF60" t="n">
        <f>M60*W60</f>
        <v>0</v>
      </c>
      <c r="BG60" t="n">
        <f>N60*W60</f>
        <v>0</v>
      </c>
      <c r="BH60" t="n">
        <f>O60*W60</f>
        <v>0</v>
      </c>
      <c r="BI60" t="n">
        <f>P60*W60</f>
        <v>0</v>
      </c>
      <c r="BJ60" t="n">
        <f>Q60*W60</f>
        <v>0</v>
      </c>
      <c r="DM60" t="str">
        <f>IF(AND(Projets!A60&lt;&gt;"",Projets!G60="Engager"),DM59&amp;IF(DM59="","",", ")&amp;Projets!B60,DM59)</f>
        <v/>
      </c>
      <c r="DN60" t="str">
        <f>IF(AND(Projets!A60&lt;&gt;"",Projets!G60="Reporter"),DN59&amp;IF(DN59="","",", ")&amp;Projets!B60,DN59)</f>
        <v/>
      </c>
    </row>
    <row r="61">
      <c r="A61" t="n">
        <f>Charges!A61</f>
        <v>0</v>
      </c>
      <c r="B61" t="n">
        <f>Charges!C61</f>
        <v>0</v>
      </c>
      <c r="C61" t="str">
        <f>Charges!D61</f>
        <v/>
      </c>
      <c r="E61" t="n">
        <f>IF(1&lt;=Paramètres!$B$9,MAX(0,IFERROR(N(IF(ISNUMBER(Charges!F61),MAX(0,Charges!F61),IFERROR(VLOOKUP(Charges!F61,Paramètres!$A$15:$B$18,2,FALSE),0))),0)),0)</f>
        <v>0</v>
      </c>
      <c r="F61" t="n">
        <f>IF(2&lt;=Paramètres!$B$9,MAX(0,IFERROR(N(IF(ISNUMBER(Charges!G61),MAX(0,Charges!G61),IFERROR(VLOOKUP(Charges!G61,Paramètres!$A$15:$B$18,2,FALSE),0))),0)),0)</f>
        <v>0</v>
      </c>
      <c r="G61" t="n">
        <f>IF(3&lt;=Paramètres!$B$9,MAX(0,IFERROR(N(IF(ISNUMBER(Charges!H61),MAX(0,Charges!H61),IFERROR(VLOOKUP(Charges!H61,Paramètres!$A$15:$B$18,2,FALSE),0))),0)),0)</f>
        <v>0</v>
      </c>
      <c r="H61" t="n">
        <f>IF(4&lt;=Paramètres!$B$9,MAX(0,IFERROR(N(IF(ISNUMBER(Charges!I61),MAX(0,Charges!I61),IFERROR(VLOOKUP(Charges!I61,Paramètres!$A$15:$B$18,2,FALSE),0))),0)),0)</f>
        <v>0</v>
      </c>
      <c r="I61" t="n">
        <f>IF(5&lt;=Paramètres!$B$9,MAX(0,IFERROR(N(IF(ISNUMBER(Charges!J61),MAX(0,Charges!J61),IFERROR(VLOOKUP(Charges!J61,Paramètres!$A$15:$B$18,2,FALSE),0))),0)),0)</f>
        <v>0</v>
      </c>
      <c r="J61" t="n">
        <f>IF(6&lt;=Paramètres!$B$9,MAX(0,IFERROR(N(IF(ISNUMBER(Charges!K61),MAX(0,Charges!K61),IFERROR(VLOOKUP(Charges!K61,Paramètres!$A$15:$B$18,2,FALSE),0))),0)),0)</f>
        <v>0</v>
      </c>
      <c r="K61" t="n">
        <f>IF(7&lt;=Paramètres!$B$9,MAX(0,IFERROR(N(IF(ISNUMBER(Charges!L61),MAX(0,Charges!L61),IFERROR(VLOOKUP(Charges!L61,Paramètres!$A$15:$B$18,2,FALSE),0))),0)),0)</f>
        <v>0</v>
      </c>
      <c r="L61" t="n">
        <f>IF(8&lt;=Paramètres!$B$9,MAX(0,IFERROR(N(IF(ISNUMBER(Charges!M61),MAX(0,Charges!M61),IFERROR(VLOOKUP(Charges!M61,Paramètres!$A$15:$B$18,2,FALSE),0))),0)),0)</f>
        <v>0</v>
      </c>
      <c r="M61" t="n">
        <f>IF(9&lt;=Paramètres!$B$9,MAX(0,IFERROR(N(IF(ISNUMBER(Charges!N61),MAX(0,Charges!N61),IFERROR(VLOOKUP(Charges!N61,Paramètres!$A$15:$B$18,2,FALSE),0))),0)),0)</f>
        <v>0</v>
      </c>
      <c r="N61" t="n">
        <f>IF(10&lt;=Paramètres!$B$9,MAX(0,IFERROR(N(IF(ISNUMBER(Charges!O61),MAX(0,Charges!O61),IFERROR(VLOOKUP(Charges!O61,Paramètres!$A$15:$B$18,2,FALSE),0))),0)),0)</f>
        <v>0</v>
      </c>
      <c r="O61" t="n">
        <f>IF(11&lt;=Paramètres!$B$9,MAX(0,IFERROR(N(IF(ISNUMBER(Charges!P61),MAX(0,Charges!P61),IFERROR(VLOOKUP(Charges!P61,Paramètres!$A$15:$B$18,2,FALSE),0))),0)),0)</f>
        <v>0</v>
      </c>
      <c r="P61" t="n">
        <f>IF(12&lt;=Paramètres!$B$9,MAX(0,IFERROR(N(IF(ISNUMBER(Charges!Q61),MAX(0,Charges!Q61),IFERROR(VLOOKUP(Charges!Q61,Paramètres!$A$15:$B$18,2,FALSE),0))),0)),0)</f>
        <v>0</v>
      </c>
      <c r="Q61" t="n">
        <f>IF(13&lt;=Paramètres!$B$9,MAX(0,IFERROR(N(IF(ISNUMBER(Charges!R61),MAX(0,Charges!R61),IFERROR(VLOOKUP(Charges!R61,Paramètres!$A$15:$B$18,2,FALSE),0))),0)),0)</f>
        <v>0</v>
      </c>
      <c r="R61" t="n">
        <f>SUM(E61:Q61)</f>
        <v>0</v>
      </c>
      <c r="S61" t="n">
        <f>IF(IFERROR(VLOOKUP(A61,'Projets'!$A$8:$Z$67,7,FALSE),"")="Engager",1,0)</f>
        <v>0</v>
      </c>
      <c r="T61" t="n">
        <f>IF(OR(Charges!F61="",AND(ISNUMBER(Charges!F61),Charges!F61&gt;=0),Charges!F61="S",Charges!F61="M",Charges!F61="L",Charges!F61="XL"),0,1)+IF(OR(Charges!G61="",AND(ISNUMBER(Charges!G61),Charges!G61&gt;=0),Charges!G61="S",Charges!G61="M",Charges!G61="L",Charges!G61="XL"),0,1)+IF(OR(Charges!H61="",AND(ISNUMBER(Charges!H61),Charges!H61&gt;=0),Charges!H61="S",Charges!H61="M",Charges!H61="L",Charges!H61="XL"),0,1)+IF(OR(Charges!I61="",AND(ISNUMBER(Charges!I61),Charges!I61&gt;=0),Charges!I61="S",Charges!I61="M",Charges!I61="L",Charges!I61="XL"),0,1)+IF(OR(Charges!J61="",AND(ISNUMBER(Charges!J61),Charges!J61&gt;=0),Charges!J61="S",Charges!J61="M",Charges!J61="L",Charges!J61="XL"),0,1)+IF(OR(Charges!K61="",AND(ISNUMBER(Charges!K61),Charges!K61&gt;=0),Charges!K61="S",Charges!K61="M",Charges!K61="L",Charges!K61="XL"),0,1)+IF(OR(Charges!L61="",AND(ISNUMBER(Charges!L61),Charges!L61&gt;=0),Charges!L61="S",Charges!L61="M",Charges!L61="L",Charges!L61="XL"),0,1)+IF(OR(Charges!M61="",AND(ISNUMBER(Charges!M61),Charges!M61&gt;=0),Charges!M61="S",Charges!M61="M",Charges!M61="L",Charges!M61="XL"),0,1)+IF(OR(Charges!N61="",AND(ISNUMBER(Charges!N61),Charges!N61&gt;=0),Charges!N61="S",Charges!N61="M",Charges!N61="L",Charges!N61="XL"),0,1)+IF(OR(Charges!O61="",AND(ISNUMBER(Charges!O61),Charges!O61&gt;=0),Charges!O61="S",Charges!O61="M",Charges!O61="L",Charges!O61="XL"),0,1)+IF(OR(Charges!P61="",AND(ISNUMBER(Charges!P61),Charges!P61&gt;=0),Charges!P61="S",Charges!P61="M",Charges!P61="L",Charges!P61="XL"),0,1)+IF(OR(Charges!Q61="",AND(ISNUMBER(Charges!Q61),Charges!Q61&gt;=0),Charges!Q61="S",Charges!Q61="M",Charges!Q61="L",Charges!Q61="XL"),0,1)+IF(OR(Charges!R61="",AND(ISNUMBER(Charges!R61),Charges!R61&gt;=0),Charges!R61="S",Charges!R61="M",Charges!R61="L",Charges!R61="XL"),0,1)</f>
        <v>0</v>
      </c>
      <c r="U61" t="n">
        <f>IF(AND(1&gt;Paramètres!$B$9,Charges!F61&lt;&gt;"",Charges!F61&lt;&gt;0),1,0)+IF(AND(2&gt;Paramètres!$B$9,Charges!G61&lt;&gt;"",Charges!G61&lt;&gt;0),1,0)+IF(AND(3&gt;Paramètres!$B$9,Charges!H61&lt;&gt;"",Charges!H61&lt;&gt;0),1,0)+IF(AND(4&gt;Paramètres!$B$9,Charges!I61&lt;&gt;"",Charges!I61&lt;&gt;0),1,0)+IF(AND(5&gt;Paramètres!$B$9,Charges!J61&lt;&gt;"",Charges!J61&lt;&gt;0),1,0)+IF(AND(6&gt;Paramètres!$B$9,Charges!K61&lt;&gt;"",Charges!K61&lt;&gt;0),1,0)+IF(AND(7&gt;Paramètres!$B$9,Charges!L61&lt;&gt;"",Charges!L61&lt;&gt;0),1,0)+IF(AND(8&gt;Paramètres!$B$9,Charges!M61&lt;&gt;"",Charges!M61&lt;&gt;0),1,0)+IF(AND(9&gt;Paramètres!$B$9,Charges!N61&lt;&gt;"",Charges!N61&lt;&gt;0),1,0)+IF(AND(10&gt;Paramètres!$B$9,Charges!O61&lt;&gt;"",Charges!O61&lt;&gt;0),1,0)+IF(AND(11&gt;Paramètres!$B$9,Charges!P61&lt;&gt;"",Charges!P61&lt;&gt;0),1,0)+IF(AND(12&gt;Paramètres!$B$9,Charges!Q61&lt;&gt;"",Charges!Q61&lt;&gt;0),1,0)+IF(AND(13&gt;Paramètres!$B$9,Charges!R61&lt;&gt;"",Charges!R61&lt;&gt;0),1,0)</f>
        <v>0</v>
      </c>
      <c r="V61" t="n">
        <f>IF(IFERROR(VLOOKUP(A61,'Projets'!$A$8:$Z$67,5,FALSE),"")="Engager",1,0)</f>
        <v>0</v>
      </c>
      <c r="W61" t="n">
        <f>IF(IFERROR(VLOOKUP(A61,'Projets'!$A$8:$Z$67,6,FALSE),"")="Engager",1,0)</f>
        <v>0</v>
      </c>
      <c r="X61" t="n">
        <f>E61*S61</f>
        <v>0</v>
      </c>
      <c r="Y61" t="n">
        <f>F61*S61</f>
        <v>0</v>
      </c>
      <c r="Z61" t="n">
        <f>G61*S61</f>
        <v>0</v>
      </c>
      <c r="AA61" t="n">
        <f>H61*S61</f>
        <v>0</v>
      </c>
      <c r="AB61" t="n">
        <f>I61*S61</f>
        <v>0</v>
      </c>
      <c r="AC61" t="n">
        <f>J61*S61</f>
        <v>0</v>
      </c>
      <c r="AD61" t="n">
        <f>K61*S61</f>
        <v>0</v>
      </c>
      <c r="AE61" t="n">
        <f>L61*S61</f>
        <v>0</v>
      </c>
      <c r="AF61" t="n">
        <f>M61*S61</f>
        <v>0</v>
      </c>
      <c r="AG61" t="n">
        <f>N61*S61</f>
        <v>0</v>
      </c>
      <c r="AH61" t="n">
        <f>O61*S61</f>
        <v>0</v>
      </c>
      <c r="AI61" t="n">
        <f>P61*S61</f>
        <v>0</v>
      </c>
      <c r="AJ61" t="n">
        <f>Q61*S61</f>
        <v>0</v>
      </c>
      <c r="AK61" t="n">
        <f>E61*V61</f>
        <v>0</v>
      </c>
      <c r="AL61" t="n">
        <f>F61*V61</f>
        <v>0</v>
      </c>
      <c r="AM61" t="n">
        <f>G61*V61</f>
        <v>0</v>
      </c>
      <c r="AN61" t="n">
        <f>H61*V61</f>
        <v>0</v>
      </c>
      <c r="AO61" t="n">
        <f>I61*V61</f>
        <v>0</v>
      </c>
      <c r="AP61" t="n">
        <f>J61*V61</f>
        <v>0</v>
      </c>
      <c r="AQ61" t="n">
        <f>K61*V61</f>
        <v>0</v>
      </c>
      <c r="AR61" t="n">
        <f>L61*V61</f>
        <v>0</v>
      </c>
      <c r="AS61" t="n">
        <f>M61*V61</f>
        <v>0</v>
      </c>
      <c r="AT61" t="n">
        <f>N61*V61</f>
        <v>0</v>
      </c>
      <c r="AU61" t="n">
        <f>O61*V61</f>
        <v>0</v>
      </c>
      <c r="AV61" t="n">
        <f>P61*V61</f>
        <v>0</v>
      </c>
      <c r="AW61" t="n">
        <f>Q61*V61</f>
        <v>0</v>
      </c>
      <c r="AX61" t="n">
        <f>E61*W61</f>
        <v>0</v>
      </c>
      <c r="AY61" t="n">
        <f>F61*W61</f>
        <v>0</v>
      </c>
      <c r="AZ61" t="n">
        <f>G61*W61</f>
        <v>0</v>
      </c>
      <c r="BA61" t="n">
        <f>H61*W61</f>
        <v>0</v>
      </c>
      <c r="BB61" t="n">
        <f>I61*W61</f>
        <v>0</v>
      </c>
      <c r="BC61" t="n">
        <f>J61*W61</f>
        <v>0</v>
      </c>
      <c r="BD61" t="n">
        <f>K61*W61</f>
        <v>0</v>
      </c>
      <c r="BE61" t="n">
        <f>L61*W61</f>
        <v>0</v>
      </c>
      <c r="BF61" t="n">
        <f>M61*W61</f>
        <v>0</v>
      </c>
      <c r="BG61" t="n">
        <f>N61*W61</f>
        <v>0</v>
      </c>
      <c r="BH61" t="n">
        <f>O61*W61</f>
        <v>0</v>
      </c>
      <c r="BI61" t="n">
        <f>P61*W61</f>
        <v>0</v>
      </c>
      <c r="BJ61" t="n">
        <f>Q61*W61</f>
        <v>0</v>
      </c>
      <c r="DM61" t="str">
        <f>IF(AND(Projets!A61&lt;&gt;"",Projets!G61="Engager"),DM60&amp;IF(DM60="","",", ")&amp;Projets!B61,DM60)</f>
        <v/>
      </c>
      <c r="DN61" t="str">
        <f>IF(AND(Projets!A61&lt;&gt;"",Projets!G61="Reporter"),DN60&amp;IF(DN60="","",", ")&amp;Projets!B61,DN60)</f>
        <v/>
      </c>
    </row>
    <row r="62">
      <c r="A62" t="n">
        <f>Charges!A62</f>
        <v>0</v>
      </c>
      <c r="B62" t="n">
        <f>Charges!C62</f>
        <v>0</v>
      </c>
      <c r="C62" t="str">
        <f>Charges!D62</f>
        <v/>
      </c>
      <c r="E62" t="n">
        <f>IF(1&lt;=Paramètres!$B$9,MAX(0,IFERROR(N(IF(ISNUMBER(Charges!F62),MAX(0,Charges!F62),IFERROR(VLOOKUP(Charges!F62,Paramètres!$A$15:$B$18,2,FALSE),0))),0)),0)</f>
        <v>0</v>
      </c>
      <c r="F62" t="n">
        <f>IF(2&lt;=Paramètres!$B$9,MAX(0,IFERROR(N(IF(ISNUMBER(Charges!G62),MAX(0,Charges!G62),IFERROR(VLOOKUP(Charges!G62,Paramètres!$A$15:$B$18,2,FALSE),0))),0)),0)</f>
        <v>0</v>
      </c>
      <c r="G62" t="n">
        <f>IF(3&lt;=Paramètres!$B$9,MAX(0,IFERROR(N(IF(ISNUMBER(Charges!H62),MAX(0,Charges!H62),IFERROR(VLOOKUP(Charges!H62,Paramètres!$A$15:$B$18,2,FALSE),0))),0)),0)</f>
        <v>0</v>
      </c>
      <c r="H62" t="n">
        <f>IF(4&lt;=Paramètres!$B$9,MAX(0,IFERROR(N(IF(ISNUMBER(Charges!I62),MAX(0,Charges!I62),IFERROR(VLOOKUP(Charges!I62,Paramètres!$A$15:$B$18,2,FALSE),0))),0)),0)</f>
        <v>0</v>
      </c>
      <c r="I62" t="n">
        <f>IF(5&lt;=Paramètres!$B$9,MAX(0,IFERROR(N(IF(ISNUMBER(Charges!J62),MAX(0,Charges!J62),IFERROR(VLOOKUP(Charges!J62,Paramètres!$A$15:$B$18,2,FALSE),0))),0)),0)</f>
        <v>0</v>
      </c>
      <c r="J62" t="n">
        <f>IF(6&lt;=Paramètres!$B$9,MAX(0,IFERROR(N(IF(ISNUMBER(Charges!K62),MAX(0,Charges!K62),IFERROR(VLOOKUP(Charges!K62,Paramètres!$A$15:$B$18,2,FALSE),0))),0)),0)</f>
        <v>0</v>
      </c>
      <c r="K62" t="n">
        <f>IF(7&lt;=Paramètres!$B$9,MAX(0,IFERROR(N(IF(ISNUMBER(Charges!L62),MAX(0,Charges!L62),IFERROR(VLOOKUP(Charges!L62,Paramètres!$A$15:$B$18,2,FALSE),0))),0)),0)</f>
        <v>0</v>
      </c>
      <c r="L62" t="n">
        <f>IF(8&lt;=Paramètres!$B$9,MAX(0,IFERROR(N(IF(ISNUMBER(Charges!M62),MAX(0,Charges!M62),IFERROR(VLOOKUP(Charges!M62,Paramètres!$A$15:$B$18,2,FALSE),0))),0)),0)</f>
        <v>0</v>
      </c>
      <c r="M62" t="n">
        <f>IF(9&lt;=Paramètres!$B$9,MAX(0,IFERROR(N(IF(ISNUMBER(Charges!N62),MAX(0,Charges!N62),IFERROR(VLOOKUP(Charges!N62,Paramètres!$A$15:$B$18,2,FALSE),0))),0)),0)</f>
        <v>0</v>
      </c>
      <c r="N62" t="n">
        <f>IF(10&lt;=Paramètres!$B$9,MAX(0,IFERROR(N(IF(ISNUMBER(Charges!O62),MAX(0,Charges!O62),IFERROR(VLOOKUP(Charges!O62,Paramètres!$A$15:$B$18,2,FALSE),0))),0)),0)</f>
        <v>0</v>
      </c>
      <c r="O62" t="n">
        <f>IF(11&lt;=Paramètres!$B$9,MAX(0,IFERROR(N(IF(ISNUMBER(Charges!P62),MAX(0,Charges!P62),IFERROR(VLOOKUP(Charges!P62,Paramètres!$A$15:$B$18,2,FALSE),0))),0)),0)</f>
        <v>0</v>
      </c>
      <c r="P62" t="n">
        <f>IF(12&lt;=Paramètres!$B$9,MAX(0,IFERROR(N(IF(ISNUMBER(Charges!Q62),MAX(0,Charges!Q62),IFERROR(VLOOKUP(Charges!Q62,Paramètres!$A$15:$B$18,2,FALSE),0))),0)),0)</f>
        <v>0</v>
      </c>
      <c r="Q62" t="n">
        <f>IF(13&lt;=Paramètres!$B$9,MAX(0,IFERROR(N(IF(ISNUMBER(Charges!R62),MAX(0,Charges!R62),IFERROR(VLOOKUP(Charges!R62,Paramètres!$A$15:$B$18,2,FALSE),0))),0)),0)</f>
        <v>0</v>
      </c>
      <c r="R62" t="n">
        <f>SUM(E62:Q62)</f>
        <v>0</v>
      </c>
      <c r="S62" t="n">
        <f>IF(IFERROR(VLOOKUP(A62,'Projets'!$A$8:$Z$67,7,FALSE),"")="Engager",1,0)</f>
        <v>0</v>
      </c>
      <c r="T62" t="n">
        <f>IF(OR(Charges!F62="",AND(ISNUMBER(Charges!F62),Charges!F62&gt;=0),Charges!F62="S",Charges!F62="M",Charges!F62="L",Charges!F62="XL"),0,1)+IF(OR(Charges!G62="",AND(ISNUMBER(Charges!G62),Charges!G62&gt;=0),Charges!G62="S",Charges!G62="M",Charges!G62="L",Charges!G62="XL"),0,1)+IF(OR(Charges!H62="",AND(ISNUMBER(Charges!H62),Charges!H62&gt;=0),Charges!H62="S",Charges!H62="M",Charges!H62="L",Charges!H62="XL"),0,1)+IF(OR(Charges!I62="",AND(ISNUMBER(Charges!I62),Charges!I62&gt;=0),Charges!I62="S",Charges!I62="M",Charges!I62="L",Charges!I62="XL"),0,1)+IF(OR(Charges!J62="",AND(ISNUMBER(Charges!J62),Charges!J62&gt;=0),Charges!J62="S",Charges!J62="M",Charges!J62="L",Charges!J62="XL"),0,1)+IF(OR(Charges!K62="",AND(ISNUMBER(Charges!K62),Charges!K62&gt;=0),Charges!K62="S",Charges!K62="M",Charges!K62="L",Charges!K62="XL"),0,1)+IF(OR(Charges!L62="",AND(ISNUMBER(Charges!L62),Charges!L62&gt;=0),Charges!L62="S",Charges!L62="M",Charges!L62="L",Charges!L62="XL"),0,1)+IF(OR(Charges!M62="",AND(ISNUMBER(Charges!M62),Charges!M62&gt;=0),Charges!M62="S",Charges!M62="M",Charges!M62="L",Charges!M62="XL"),0,1)+IF(OR(Charges!N62="",AND(ISNUMBER(Charges!N62),Charges!N62&gt;=0),Charges!N62="S",Charges!N62="M",Charges!N62="L",Charges!N62="XL"),0,1)+IF(OR(Charges!O62="",AND(ISNUMBER(Charges!O62),Charges!O62&gt;=0),Charges!O62="S",Charges!O62="M",Charges!O62="L",Charges!O62="XL"),0,1)+IF(OR(Charges!P62="",AND(ISNUMBER(Charges!P62),Charges!P62&gt;=0),Charges!P62="S",Charges!P62="M",Charges!P62="L",Charges!P62="XL"),0,1)+IF(OR(Charges!Q62="",AND(ISNUMBER(Charges!Q62),Charges!Q62&gt;=0),Charges!Q62="S",Charges!Q62="M",Charges!Q62="L",Charges!Q62="XL"),0,1)+IF(OR(Charges!R62="",AND(ISNUMBER(Charges!R62),Charges!R62&gt;=0),Charges!R62="S",Charges!R62="M",Charges!R62="L",Charges!R62="XL"),0,1)</f>
        <v>0</v>
      </c>
      <c r="U62" t="n">
        <f>IF(AND(1&gt;Paramètres!$B$9,Charges!F62&lt;&gt;"",Charges!F62&lt;&gt;0),1,0)+IF(AND(2&gt;Paramètres!$B$9,Charges!G62&lt;&gt;"",Charges!G62&lt;&gt;0),1,0)+IF(AND(3&gt;Paramètres!$B$9,Charges!H62&lt;&gt;"",Charges!H62&lt;&gt;0),1,0)+IF(AND(4&gt;Paramètres!$B$9,Charges!I62&lt;&gt;"",Charges!I62&lt;&gt;0),1,0)+IF(AND(5&gt;Paramètres!$B$9,Charges!J62&lt;&gt;"",Charges!J62&lt;&gt;0),1,0)+IF(AND(6&gt;Paramètres!$B$9,Charges!K62&lt;&gt;"",Charges!K62&lt;&gt;0),1,0)+IF(AND(7&gt;Paramètres!$B$9,Charges!L62&lt;&gt;"",Charges!L62&lt;&gt;0),1,0)+IF(AND(8&gt;Paramètres!$B$9,Charges!M62&lt;&gt;"",Charges!M62&lt;&gt;0),1,0)+IF(AND(9&gt;Paramètres!$B$9,Charges!N62&lt;&gt;"",Charges!N62&lt;&gt;0),1,0)+IF(AND(10&gt;Paramètres!$B$9,Charges!O62&lt;&gt;"",Charges!O62&lt;&gt;0),1,0)+IF(AND(11&gt;Paramètres!$B$9,Charges!P62&lt;&gt;"",Charges!P62&lt;&gt;0),1,0)+IF(AND(12&gt;Paramètres!$B$9,Charges!Q62&lt;&gt;"",Charges!Q62&lt;&gt;0),1,0)+IF(AND(13&gt;Paramètres!$B$9,Charges!R62&lt;&gt;"",Charges!R62&lt;&gt;0),1,0)</f>
        <v>0</v>
      </c>
      <c r="V62" t="n">
        <f>IF(IFERROR(VLOOKUP(A62,'Projets'!$A$8:$Z$67,5,FALSE),"")="Engager",1,0)</f>
        <v>0</v>
      </c>
      <c r="W62" t="n">
        <f>IF(IFERROR(VLOOKUP(A62,'Projets'!$A$8:$Z$67,6,FALSE),"")="Engager",1,0)</f>
        <v>0</v>
      </c>
      <c r="X62" t="n">
        <f>E62*S62</f>
        <v>0</v>
      </c>
      <c r="Y62" t="n">
        <f>F62*S62</f>
        <v>0</v>
      </c>
      <c r="Z62" t="n">
        <f>G62*S62</f>
        <v>0</v>
      </c>
      <c r="AA62" t="n">
        <f>H62*S62</f>
        <v>0</v>
      </c>
      <c r="AB62" t="n">
        <f>I62*S62</f>
        <v>0</v>
      </c>
      <c r="AC62" t="n">
        <f>J62*S62</f>
        <v>0</v>
      </c>
      <c r="AD62" t="n">
        <f>K62*S62</f>
        <v>0</v>
      </c>
      <c r="AE62" t="n">
        <f>L62*S62</f>
        <v>0</v>
      </c>
      <c r="AF62" t="n">
        <f>M62*S62</f>
        <v>0</v>
      </c>
      <c r="AG62" t="n">
        <f>N62*S62</f>
        <v>0</v>
      </c>
      <c r="AH62" t="n">
        <f>O62*S62</f>
        <v>0</v>
      </c>
      <c r="AI62" t="n">
        <f>P62*S62</f>
        <v>0</v>
      </c>
      <c r="AJ62" t="n">
        <f>Q62*S62</f>
        <v>0</v>
      </c>
      <c r="AK62" t="n">
        <f>E62*V62</f>
        <v>0</v>
      </c>
      <c r="AL62" t="n">
        <f>F62*V62</f>
        <v>0</v>
      </c>
      <c r="AM62" t="n">
        <f>G62*V62</f>
        <v>0</v>
      </c>
      <c r="AN62" t="n">
        <f>H62*V62</f>
        <v>0</v>
      </c>
      <c r="AO62" t="n">
        <f>I62*V62</f>
        <v>0</v>
      </c>
      <c r="AP62" t="n">
        <f>J62*V62</f>
        <v>0</v>
      </c>
      <c r="AQ62" t="n">
        <f>K62*V62</f>
        <v>0</v>
      </c>
      <c r="AR62" t="n">
        <f>L62*V62</f>
        <v>0</v>
      </c>
      <c r="AS62" t="n">
        <f>M62*V62</f>
        <v>0</v>
      </c>
      <c r="AT62" t="n">
        <f>N62*V62</f>
        <v>0</v>
      </c>
      <c r="AU62" t="n">
        <f>O62*V62</f>
        <v>0</v>
      </c>
      <c r="AV62" t="n">
        <f>P62*V62</f>
        <v>0</v>
      </c>
      <c r="AW62" t="n">
        <f>Q62*V62</f>
        <v>0</v>
      </c>
      <c r="AX62" t="n">
        <f>E62*W62</f>
        <v>0</v>
      </c>
      <c r="AY62" t="n">
        <f>F62*W62</f>
        <v>0</v>
      </c>
      <c r="AZ62" t="n">
        <f>G62*W62</f>
        <v>0</v>
      </c>
      <c r="BA62" t="n">
        <f>H62*W62</f>
        <v>0</v>
      </c>
      <c r="BB62" t="n">
        <f>I62*W62</f>
        <v>0</v>
      </c>
      <c r="BC62" t="n">
        <f>J62*W62</f>
        <v>0</v>
      </c>
      <c r="BD62" t="n">
        <f>K62*W62</f>
        <v>0</v>
      </c>
      <c r="BE62" t="n">
        <f>L62*W62</f>
        <v>0</v>
      </c>
      <c r="BF62" t="n">
        <f>M62*W62</f>
        <v>0</v>
      </c>
      <c r="BG62" t="n">
        <f>N62*W62</f>
        <v>0</v>
      </c>
      <c r="BH62" t="n">
        <f>O62*W62</f>
        <v>0</v>
      </c>
      <c r="BI62" t="n">
        <f>P62*W62</f>
        <v>0</v>
      </c>
      <c r="BJ62" t="n">
        <f>Q62*W62</f>
        <v>0</v>
      </c>
      <c r="DM62" t="str">
        <f>IF(AND(Projets!A62&lt;&gt;"",Projets!G62="Engager"),DM61&amp;IF(DM61="","",", ")&amp;Projets!B62,DM61)</f>
        <v/>
      </c>
      <c r="DN62" t="str">
        <f>IF(AND(Projets!A62&lt;&gt;"",Projets!G62="Reporter"),DN61&amp;IF(DN61="","",", ")&amp;Projets!B62,DN61)</f>
        <v/>
      </c>
    </row>
    <row r="63">
      <c r="A63" t="n">
        <f>Charges!A63</f>
        <v>0</v>
      </c>
      <c r="B63" t="n">
        <f>Charges!C63</f>
        <v>0</v>
      </c>
      <c r="C63" t="str">
        <f>Charges!D63</f>
        <v/>
      </c>
      <c r="E63" t="n">
        <f>IF(1&lt;=Paramètres!$B$9,MAX(0,IFERROR(N(IF(ISNUMBER(Charges!F63),MAX(0,Charges!F63),IFERROR(VLOOKUP(Charges!F63,Paramètres!$A$15:$B$18,2,FALSE),0))),0)),0)</f>
        <v>0</v>
      </c>
      <c r="F63" t="n">
        <f>IF(2&lt;=Paramètres!$B$9,MAX(0,IFERROR(N(IF(ISNUMBER(Charges!G63),MAX(0,Charges!G63),IFERROR(VLOOKUP(Charges!G63,Paramètres!$A$15:$B$18,2,FALSE),0))),0)),0)</f>
        <v>0</v>
      </c>
      <c r="G63" t="n">
        <f>IF(3&lt;=Paramètres!$B$9,MAX(0,IFERROR(N(IF(ISNUMBER(Charges!H63),MAX(0,Charges!H63),IFERROR(VLOOKUP(Charges!H63,Paramètres!$A$15:$B$18,2,FALSE),0))),0)),0)</f>
        <v>0</v>
      </c>
      <c r="H63" t="n">
        <f>IF(4&lt;=Paramètres!$B$9,MAX(0,IFERROR(N(IF(ISNUMBER(Charges!I63),MAX(0,Charges!I63),IFERROR(VLOOKUP(Charges!I63,Paramètres!$A$15:$B$18,2,FALSE),0))),0)),0)</f>
        <v>0</v>
      </c>
      <c r="I63" t="n">
        <f>IF(5&lt;=Paramètres!$B$9,MAX(0,IFERROR(N(IF(ISNUMBER(Charges!J63),MAX(0,Charges!J63),IFERROR(VLOOKUP(Charges!J63,Paramètres!$A$15:$B$18,2,FALSE),0))),0)),0)</f>
        <v>0</v>
      </c>
      <c r="J63" t="n">
        <f>IF(6&lt;=Paramètres!$B$9,MAX(0,IFERROR(N(IF(ISNUMBER(Charges!K63),MAX(0,Charges!K63),IFERROR(VLOOKUP(Charges!K63,Paramètres!$A$15:$B$18,2,FALSE),0))),0)),0)</f>
        <v>0</v>
      </c>
      <c r="K63" t="n">
        <f>IF(7&lt;=Paramètres!$B$9,MAX(0,IFERROR(N(IF(ISNUMBER(Charges!L63),MAX(0,Charges!L63),IFERROR(VLOOKUP(Charges!L63,Paramètres!$A$15:$B$18,2,FALSE),0))),0)),0)</f>
        <v>0</v>
      </c>
      <c r="L63" t="n">
        <f>IF(8&lt;=Paramètres!$B$9,MAX(0,IFERROR(N(IF(ISNUMBER(Charges!M63),MAX(0,Charges!M63),IFERROR(VLOOKUP(Charges!M63,Paramètres!$A$15:$B$18,2,FALSE),0))),0)),0)</f>
        <v>0</v>
      </c>
      <c r="M63" t="n">
        <f>IF(9&lt;=Paramètres!$B$9,MAX(0,IFERROR(N(IF(ISNUMBER(Charges!N63),MAX(0,Charges!N63),IFERROR(VLOOKUP(Charges!N63,Paramètres!$A$15:$B$18,2,FALSE),0))),0)),0)</f>
        <v>0</v>
      </c>
      <c r="N63" t="n">
        <f>IF(10&lt;=Paramètres!$B$9,MAX(0,IFERROR(N(IF(ISNUMBER(Charges!O63),MAX(0,Charges!O63),IFERROR(VLOOKUP(Charges!O63,Paramètres!$A$15:$B$18,2,FALSE),0))),0)),0)</f>
        <v>0</v>
      </c>
      <c r="O63" t="n">
        <f>IF(11&lt;=Paramètres!$B$9,MAX(0,IFERROR(N(IF(ISNUMBER(Charges!P63),MAX(0,Charges!P63),IFERROR(VLOOKUP(Charges!P63,Paramètres!$A$15:$B$18,2,FALSE),0))),0)),0)</f>
        <v>0</v>
      </c>
      <c r="P63" t="n">
        <f>IF(12&lt;=Paramètres!$B$9,MAX(0,IFERROR(N(IF(ISNUMBER(Charges!Q63),MAX(0,Charges!Q63),IFERROR(VLOOKUP(Charges!Q63,Paramètres!$A$15:$B$18,2,FALSE),0))),0)),0)</f>
        <v>0</v>
      </c>
      <c r="Q63" t="n">
        <f>IF(13&lt;=Paramètres!$B$9,MAX(0,IFERROR(N(IF(ISNUMBER(Charges!R63),MAX(0,Charges!R63),IFERROR(VLOOKUP(Charges!R63,Paramètres!$A$15:$B$18,2,FALSE),0))),0)),0)</f>
        <v>0</v>
      </c>
      <c r="R63" t="n">
        <f>SUM(E63:Q63)</f>
        <v>0</v>
      </c>
      <c r="S63" t="n">
        <f>IF(IFERROR(VLOOKUP(A63,'Projets'!$A$8:$Z$67,7,FALSE),"")="Engager",1,0)</f>
        <v>0</v>
      </c>
      <c r="T63" t="n">
        <f>IF(OR(Charges!F63="",AND(ISNUMBER(Charges!F63),Charges!F63&gt;=0),Charges!F63="S",Charges!F63="M",Charges!F63="L",Charges!F63="XL"),0,1)+IF(OR(Charges!G63="",AND(ISNUMBER(Charges!G63),Charges!G63&gt;=0),Charges!G63="S",Charges!G63="M",Charges!G63="L",Charges!G63="XL"),0,1)+IF(OR(Charges!H63="",AND(ISNUMBER(Charges!H63),Charges!H63&gt;=0),Charges!H63="S",Charges!H63="M",Charges!H63="L",Charges!H63="XL"),0,1)+IF(OR(Charges!I63="",AND(ISNUMBER(Charges!I63),Charges!I63&gt;=0),Charges!I63="S",Charges!I63="M",Charges!I63="L",Charges!I63="XL"),0,1)+IF(OR(Charges!J63="",AND(ISNUMBER(Charges!J63),Charges!J63&gt;=0),Charges!J63="S",Charges!J63="M",Charges!J63="L",Charges!J63="XL"),0,1)+IF(OR(Charges!K63="",AND(ISNUMBER(Charges!K63),Charges!K63&gt;=0),Charges!K63="S",Charges!K63="M",Charges!K63="L",Charges!K63="XL"),0,1)+IF(OR(Charges!L63="",AND(ISNUMBER(Charges!L63),Charges!L63&gt;=0),Charges!L63="S",Charges!L63="M",Charges!L63="L",Charges!L63="XL"),0,1)+IF(OR(Charges!M63="",AND(ISNUMBER(Charges!M63),Charges!M63&gt;=0),Charges!M63="S",Charges!M63="M",Charges!M63="L",Charges!M63="XL"),0,1)+IF(OR(Charges!N63="",AND(ISNUMBER(Charges!N63),Charges!N63&gt;=0),Charges!N63="S",Charges!N63="M",Charges!N63="L",Charges!N63="XL"),0,1)+IF(OR(Charges!O63="",AND(ISNUMBER(Charges!O63),Charges!O63&gt;=0),Charges!O63="S",Charges!O63="M",Charges!O63="L",Charges!O63="XL"),0,1)+IF(OR(Charges!P63="",AND(ISNUMBER(Charges!P63),Charges!P63&gt;=0),Charges!P63="S",Charges!P63="M",Charges!P63="L",Charges!P63="XL"),0,1)+IF(OR(Charges!Q63="",AND(ISNUMBER(Charges!Q63),Charges!Q63&gt;=0),Charges!Q63="S",Charges!Q63="M",Charges!Q63="L",Charges!Q63="XL"),0,1)+IF(OR(Charges!R63="",AND(ISNUMBER(Charges!R63),Charges!R63&gt;=0),Charges!R63="S",Charges!R63="M",Charges!R63="L",Charges!R63="XL"),0,1)</f>
        <v>0</v>
      </c>
      <c r="U63" t="n">
        <f>IF(AND(1&gt;Paramètres!$B$9,Charges!F63&lt;&gt;"",Charges!F63&lt;&gt;0),1,0)+IF(AND(2&gt;Paramètres!$B$9,Charges!G63&lt;&gt;"",Charges!G63&lt;&gt;0),1,0)+IF(AND(3&gt;Paramètres!$B$9,Charges!H63&lt;&gt;"",Charges!H63&lt;&gt;0),1,0)+IF(AND(4&gt;Paramètres!$B$9,Charges!I63&lt;&gt;"",Charges!I63&lt;&gt;0),1,0)+IF(AND(5&gt;Paramètres!$B$9,Charges!J63&lt;&gt;"",Charges!J63&lt;&gt;0),1,0)+IF(AND(6&gt;Paramètres!$B$9,Charges!K63&lt;&gt;"",Charges!K63&lt;&gt;0),1,0)+IF(AND(7&gt;Paramètres!$B$9,Charges!L63&lt;&gt;"",Charges!L63&lt;&gt;0),1,0)+IF(AND(8&gt;Paramètres!$B$9,Charges!M63&lt;&gt;"",Charges!M63&lt;&gt;0),1,0)+IF(AND(9&gt;Paramètres!$B$9,Charges!N63&lt;&gt;"",Charges!N63&lt;&gt;0),1,0)+IF(AND(10&gt;Paramètres!$B$9,Charges!O63&lt;&gt;"",Charges!O63&lt;&gt;0),1,0)+IF(AND(11&gt;Paramètres!$B$9,Charges!P63&lt;&gt;"",Charges!P63&lt;&gt;0),1,0)+IF(AND(12&gt;Paramètres!$B$9,Charges!Q63&lt;&gt;"",Charges!Q63&lt;&gt;0),1,0)+IF(AND(13&gt;Paramètres!$B$9,Charges!R63&lt;&gt;"",Charges!R63&lt;&gt;0),1,0)</f>
        <v>0</v>
      </c>
      <c r="V63" t="n">
        <f>IF(IFERROR(VLOOKUP(A63,'Projets'!$A$8:$Z$67,5,FALSE),"")="Engager",1,0)</f>
        <v>0</v>
      </c>
      <c r="W63" t="n">
        <f>IF(IFERROR(VLOOKUP(A63,'Projets'!$A$8:$Z$67,6,FALSE),"")="Engager",1,0)</f>
        <v>0</v>
      </c>
      <c r="X63" t="n">
        <f>E63*S63</f>
        <v>0</v>
      </c>
      <c r="Y63" t="n">
        <f>F63*S63</f>
        <v>0</v>
      </c>
      <c r="Z63" t="n">
        <f>G63*S63</f>
        <v>0</v>
      </c>
      <c r="AA63" t="n">
        <f>H63*S63</f>
        <v>0</v>
      </c>
      <c r="AB63" t="n">
        <f>I63*S63</f>
        <v>0</v>
      </c>
      <c r="AC63" t="n">
        <f>J63*S63</f>
        <v>0</v>
      </c>
      <c r="AD63" t="n">
        <f>K63*S63</f>
        <v>0</v>
      </c>
      <c r="AE63" t="n">
        <f>L63*S63</f>
        <v>0</v>
      </c>
      <c r="AF63" t="n">
        <f>M63*S63</f>
        <v>0</v>
      </c>
      <c r="AG63" t="n">
        <f>N63*S63</f>
        <v>0</v>
      </c>
      <c r="AH63" t="n">
        <f>O63*S63</f>
        <v>0</v>
      </c>
      <c r="AI63" t="n">
        <f>P63*S63</f>
        <v>0</v>
      </c>
      <c r="AJ63" t="n">
        <f>Q63*S63</f>
        <v>0</v>
      </c>
      <c r="AK63" t="n">
        <f>E63*V63</f>
        <v>0</v>
      </c>
      <c r="AL63" t="n">
        <f>F63*V63</f>
        <v>0</v>
      </c>
      <c r="AM63" t="n">
        <f>G63*V63</f>
        <v>0</v>
      </c>
      <c r="AN63" t="n">
        <f>H63*V63</f>
        <v>0</v>
      </c>
      <c r="AO63" t="n">
        <f>I63*V63</f>
        <v>0</v>
      </c>
      <c r="AP63" t="n">
        <f>J63*V63</f>
        <v>0</v>
      </c>
      <c r="AQ63" t="n">
        <f>K63*V63</f>
        <v>0</v>
      </c>
      <c r="AR63" t="n">
        <f>L63*V63</f>
        <v>0</v>
      </c>
      <c r="AS63" t="n">
        <f>M63*V63</f>
        <v>0</v>
      </c>
      <c r="AT63" t="n">
        <f>N63*V63</f>
        <v>0</v>
      </c>
      <c r="AU63" t="n">
        <f>O63*V63</f>
        <v>0</v>
      </c>
      <c r="AV63" t="n">
        <f>P63*V63</f>
        <v>0</v>
      </c>
      <c r="AW63" t="n">
        <f>Q63*V63</f>
        <v>0</v>
      </c>
      <c r="AX63" t="n">
        <f>E63*W63</f>
        <v>0</v>
      </c>
      <c r="AY63" t="n">
        <f>F63*W63</f>
        <v>0</v>
      </c>
      <c r="AZ63" t="n">
        <f>G63*W63</f>
        <v>0</v>
      </c>
      <c r="BA63" t="n">
        <f>H63*W63</f>
        <v>0</v>
      </c>
      <c r="BB63" t="n">
        <f>I63*W63</f>
        <v>0</v>
      </c>
      <c r="BC63" t="n">
        <f>J63*W63</f>
        <v>0</v>
      </c>
      <c r="BD63" t="n">
        <f>K63*W63</f>
        <v>0</v>
      </c>
      <c r="BE63" t="n">
        <f>L63*W63</f>
        <v>0</v>
      </c>
      <c r="BF63" t="n">
        <f>M63*W63</f>
        <v>0</v>
      </c>
      <c r="BG63" t="n">
        <f>N63*W63</f>
        <v>0</v>
      </c>
      <c r="BH63" t="n">
        <f>O63*W63</f>
        <v>0</v>
      </c>
      <c r="BI63" t="n">
        <f>P63*W63</f>
        <v>0</v>
      </c>
      <c r="BJ63" t="n">
        <f>Q63*W63</f>
        <v>0</v>
      </c>
      <c r="DM63" t="str">
        <f>IF(AND(Projets!A63&lt;&gt;"",Projets!G63="Engager"),DM62&amp;IF(DM62="","",", ")&amp;Projets!B63,DM62)</f>
        <v/>
      </c>
      <c r="DN63" t="str">
        <f>IF(AND(Projets!A63&lt;&gt;"",Projets!G63="Reporter"),DN62&amp;IF(DN62="","",", ")&amp;Projets!B63,DN62)</f>
        <v/>
      </c>
    </row>
    <row r="64">
      <c r="A64" t="n">
        <f>Charges!A64</f>
        <v>0</v>
      </c>
      <c r="B64" t="n">
        <f>Charges!C64</f>
        <v>0</v>
      </c>
      <c r="C64" t="str">
        <f>Charges!D64</f>
        <v/>
      </c>
      <c r="E64" t="n">
        <f>IF(1&lt;=Paramètres!$B$9,MAX(0,IFERROR(N(IF(ISNUMBER(Charges!F64),MAX(0,Charges!F64),IFERROR(VLOOKUP(Charges!F64,Paramètres!$A$15:$B$18,2,FALSE),0))),0)),0)</f>
        <v>0</v>
      </c>
      <c r="F64" t="n">
        <f>IF(2&lt;=Paramètres!$B$9,MAX(0,IFERROR(N(IF(ISNUMBER(Charges!G64),MAX(0,Charges!G64),IFERROR(VLOOKUP(Charges!G64,Paramètres!$A$15:$B$18,2,FALSE),0))),0)),0)</f>
        <v>0</v>
      </c>
      <c r="G64" t="n">
        <f>IF(3&lt;=Paramètres!$B$9,MAX(0,IFERROR(N(IF(ISNUMBER(Charges!H64),MAX(0,Charges!H64),IFERROR(VLOOKUP(Charges!H64,Paramètres!$A$15:$B$18,2,FALSE),0))),0)),0)</f>
        <v>0</v>
      </c>
      <c r="H64" t="n">
        <f>IF(4&lt;=Paramètres!$B$9,MAX(0,IFERROR(N(IF(ISNUMBER(Charges!I64),MAX(0,Charges!I64),IFERROR(VLOOKUP(Charges!I64,Paramètres!$A$15:$B$18,2,FALSE),0))),0)),0)</f>
        <v>0</v>
      </c>
      <c r="I64" t="n">
        <f>IF(5&lt;=Paramètres!$B$9,MAX(0,IFERROR(N(IF(ISNUMBER(Charges!J64),MAX(0,Charges!J64),IFERROR(VLOOKUP(Charges!J64,Paramètres!$A$15:$B$18,2,FALSE),0))),0)),0)</f>
        <v>0</v>
      </c>
      <c r="J64" t="n">
        <f>IF(6&lt;=Paramètres!$B$9,MAX(0,IFERROR(N(IF(ISNUMBER(Charges!K64),MAX(0,Charges!K64),IFERROR(VLOOKUP(Charges!K64,Paramètres!$A$15:$B$18,2,FALSE),0))),0)),0)</f>
        <v>0</v>
      </c>
      <c r="K64" t="n">
        <f>IF(7&lt;=Paramètres!$B$9,MAX(0,IFERROR(N(IF(ISNUMBER(Charges!L64),MAX(0,Charges!L64),IFERROR(VLOOKUP(Charges!L64,Paramètres!$A$15:$B$18,2,FALSE),0))),0)),0)</f>
        <v>0</v>
      </c>
      <c r="L64" t="n">
        <f>IF(8&lt;=Paramètres!$B$9,MAX(0,IFERROR(N(IF(ISNUMBER(Charges!M64),MAX(0,Charges!M64),IFERROR(VLOOKUP(Charges!M64,Paramètres!$A$15:$B$18,2,FALSE),0))),0)),0)</f>
        <v>0</v>
      </c>
      <c r="M64" t="n">
        <f>IF(9&lt;=Paramètres!$B$9,MAX(0,IFERROR(N(IF(ISNUMBER(Charges!N64),MAX(0,Charges!N64),IFERROR(VLOOKUP(Charges!N64,Paramètres!$A$15:$B$18,2,FALSE),0))),0)),0)</f>
        <v>0</v>
      </c>
      <c r="N64" t="n">
        <f>IF(10&lt;=Paramètres!$B$9,MAX(0,IFERROR(N(IF(ISNUMBER(Charges!O64),MAX(0,Charges!O64),IFERROR(VLOOKUP(Charges!O64,Paramètres!$A$15:$B$18,2,FALSE),0))),0)),0)</f>
        <v>0</v>
      </c>
      <c r="O64" t="n">
        <f>IF(11&lt;=Paramètres!$B$9,MAX(0,IFERROR(N(IF(ISNUMBER(Charges!P64),MAX(0,Charges!P64),IFERROR(VLOOKUP(Charges!P64,Paramètres!$A$15:$B$18,2,FALSE),0))),0)),0)</f>
        <v>0</v>
      </c>
      <c r="P64" t="n">
        <f>IF(12&lt;=Paramètres!$B$9,MAX(0,IFERROR(N(IF(ISNUMBER(Charges!Q64),MAX(0,Charges!Q64),IFERROR(VLOOKUP(Charges!Q64,Paramètres!$A$15:$B$18,2,FALSE),0))),0)),0)</f>
        <v>0</v>
      </c>
      <c r="Q64" t="n">
        <f>IF(13&lt;=Paramètres!$B$9,MAX(0,IFERROR(N(IF(ISNUMBER(Charges!R64),MAX(0,Charges!R64),IFERROR(VLOOKUP(Charges!R64,Paramètres!$A$15:$B$18,2,FALSE),0))),0)),0)</f>
        <v>0</v>
      </c>
      <c r="R64" t="n">
        <f>SUM(E64:Q64)</f>
        <v>0</v>
      </c>
      <c r="S64" t="n">
        <f>IF(IFERROR(VLOOKUP(A64,'Projets'!$A$8:$Z$67,7,FALSE),"")="Engager",1,0)</f>
        <v>0</v>
      </c>
      <c r="T64" t="n">
        <f>IF(OR(Charges!F64="",AND(ISNUMBER(Charges!F64),Charges!F64&gt;=0),Charges!F64="S",Charges!F64="M",Charges!F64="L",Charges!F64="XL"),0,1)+IF(OR(Charges!G64="",AND(ISNUMBER(Charges!G64),Charges!G64&gt;=0),Charges!G64="S",Charges!G64="M",Charges!G64="L",Charges!G64="XL"),0,1)+IF(OR(Charges!H64="",AND(ISNUMBER(Charges!H64),Charges!H64&gt;=0),Charges!H64="S",Charges!H64="M",Charges!H64="L",Charges!H64="XL"),0,1)+IF(OR(Charges!I64="",AND(ISNUMBER(Charges!I64),Charges!I64&gt;=0),Charges!I64="S",Charges!I64="M",Charges!I64="L",Charges!I64="XL"),0,1)+IF(OR(Charges!J64="",AND(ISNUMBER(Charges!J64),Charges!J64&gt;=0),Charges!J64="S",Charges!J64="M",Charges!J64="L",Charges!J64="XL"),0,1)+IF(OR(Charges!K64="",AND(ISNUMBER(Charges!K64),Charges!K64&gt;=0),Charges!K64="S",Charges!K64="M",Charges!K64="L",Charges!K64="XL"),0,1)+IF(OR(Charges!L64="",AND(ISNUMBER(Charges!L64),Charges!L64&gt;=0),Charges!L64="S",Charges!L64="M",Charges!L64="L",Charges!L64="XL"),0,1)+IF(OR(Charges!M64="",AND(ISNUMBER(Charges!M64),Charges!M64&gt;=0),Charges!M64="S",Charges!M64="M",Charges!M64="L",Charges!M64="XL"),0,1)+IF(OR(Charges!N64="",AND(ISNUMBER(Charges!N64),Charges!N64&gt;=0),Charges!N64="S",Charges!N64="M",Charges!N64="L",Charges!N64="XL"),0,1)+IF(OR(Charges!O64="",AND(ISNUMBER(Charges!O64),Charges!O64&gt;=0),Charges!O64="S",Charges!O64="M",Charges!O64="L",Charges!O64="XL"),0,1)+IF(OR(Charges!P64="",AND(ISNUMBER(Charges!P64),Charges!P64&gt;=0),Charges!P64="S",Charges!P64="M",Charges!P64="L",Charges!P64="XL"),0,1)+IF(OR(Charges!Q64="",AND(ISNUMBER(Charges!Q64),Charges!Q64&gt;=0),Charges!Q64="S",Charges!Q64="M",Charges!Q64="L",Charges!Q64="XL"),0,1)+IF(OR(Charges!R64="",AND(ISNUMBER(Charges!R64),Charges!R64&gt;=0),Charges!R64="S",Charges!R64="M",Charges!R64="L",Charges!R64="XL"),0,1)</f>
        <v>0</v>
      </c>
      <c r="U64" t="n">
        <f>IF(AND(1&gt;Paramètres!$B$9,Charges!F64&lt;&gt;"",Charges!F64&lt;&gt;0),1,0)+IF(AND(2&gt;Paramètres!$B$9,Charges!G64&lt;&gt;"",Charges!G64&lt;&gt;0),1,0)+IF(AND(3&gt;Paramètres!$B$9,Charges!H64&lt;&gt;"",Charges!H64&lt;&gt;0),1,0)+IF(AND(4&gt;Paramètres!$B$9,Charges!I64&lt;&gt;"",Charges!I64&lt;&gt;0),1,0)+IF(AND(5&gt;Paramètres!$B$9,Charges!J64&lt;&gt;"",Charges!J64&lt;&gt;0),1,0)+IF(AND(6&gt;Paramètres!$B$9,Charges!K64&lt;&gt;"",Charges!K64&lt;&gt;0),1,0)+IF(AND(7&gt;Paramètres!$B$9,Charges!L64&lt;&gt;"",Charges!L64&lt;&gt;0),1,0)+IF(AND(8&gt;Paramètres!$B$9,Charges!M64&lt;&gt;"",Charges!M64&lt;&gt;0),1,0)+IF(AND(9&gt;Paramètres!$B$9,Charges!N64&lt;&gt;"",Charges!N64&lt;&gt;0),1,0)+IF(AND(10&gt;Paramètres!$B$9,Charges!O64&lt;&gt;"",Charges!O64&lt;&gt;0),1,0)+IF(AND(11&gt;Paramètres!$B$9,Charges!P64&lt;&gt;"",Charges!P64&lt;&gt;0),1,0)+IF(AND(12&gt;Paramètres!$B$9,Charges!Q64&lt;&gt;"",Charges!Q64&lt;&gt;0),1,0)+IF(AND(13&gt;Paramètres!$B$9,Charges!R64&lt;&gt;"",Charges!R64&lt;&gt;0),1,0)</f>
        <v>0</v>
      </c>
      <c r="V64" t="n">
        <f>IF(IFERROR(VLOOKUP(A64,'Projets'!$A$8:$Z$67,5,FALSE),"")="Engager",1,0)</f>
        <v>0</v>
      </c>
      <c r="W64" t="n">
        <f>IF(IFERROR(VLOOKUP(A64,'Projets'!$A$8:$Z$67,6,FALSE),"")="Engager",1,0)</f>
        <v>0</v>
      </c>
      <c r="X64" t="n">
        <f>E64*S64</f>
        <v>0</v>
      </c>
      <c r="Y64" t="n">
        <f>F64*S64</f>
        <v>0</v>
      </c>
      <c r="Z64" t="n">
        <f>G64*S64</f>
        <v>0</v>
      </c>
      <c r="AA64" t="n">
        <f>H64*S64</f>
        <v>0</v>
      </c>
      <c r="AB64" t="n">
        <f>I64*S64</f>
        <v>0</v>
      </c>
      <c r="AC64" t="n">
        <f>J64*S64</f>
        <v>0</v>
      </c>
      <c r="AD64" t="n">
        <f>K64*S64</f>
        <v>0</v>
      </c>
      <c r="AE64" t="n">
        <f>L64*S64</f>
        <v>0</v>
      </c>
      <c r="AF64" t="n">
        <f>M64*S64</f>
        <v>0</v>
      </c>
      <c r="AG64" t="n">
        <f>N64*S64</f>
        <v>0</v>
      </c>
      <c r="AH64" t="n">
        <f>O64*S64</f>
        <v>0</v>
      </c>
      <c r="AI64" t="n">
        <f>P64*S64</f>
        <v>0</v>
      </c>
      <c r="AJ64" t="n">
        <f>Q64*S64</f>
        <v>0</v>
      </c>
      <c r="AK64" t="n">
        <f>E64*V64</f>
        <v>0</v>
      </c>
      <c r="AL64" t="n">
        <f>F64*V64</f>
        <v>0</v>
      </c>
      <c r="AM64" t="n">
        <f>G64*V64</f>
        <v>0</v>
      </c>
      <c r="AN64" t="n">
        <f>H64*V64</f>
        <v>0</v>
      </c>
      <c r="AO64" t="n">
        <f>I64*V64</f>
        <v>0</v>
      </c>
      <c r="AP64" t="n">
        <f>J64*V64</f>
        <v>0</v>
      </c>
      <c r="AQ64" t="n">
        <f>K64*V64</f>
        <v>0</v>
      </c>
      <c r="AR64" t="n">
        <f>L64*V64</f>
        <v>0</v>
      </c>
      <c r="AS64" t="n">
        <f>M64*V64</f>
        <v>0</v>
      </c>
      <c r="AT64" t="n">
        <f>N64*V64</f>
        <v>0</v>
      </c>
      <c r="AU64" t="n">
        <f>O64*V64</f>
        <v>0</v>
      </c>
      <c r="AV64" t="n">
        <f>P64*V64</f>
        <v>0</v>
      </c>
      <c r="AW64" t="n">
        <f>Q64*V64</f>
        <v>0</v>
      </c>
      <c r="AX64" t="n">
        <f>E64*W64</f>
        <v>0</v>
      </c>
      <c r="AY64" t="n">
        <f>F64*W64</f>
        <v>0</v>
      </c>
      <c r="AZ64" t="n">
        <f>G64*W64</f>
        <v>0</v>
      </c>
      <c r="BA64" t="n">
        <f>H64*W64</f>
        <v>0</v>
      </c>
      <c r="BB64" t="n">
        <f>I64*W64</f>
        <v>0</v>
      </c>
      <c r="BC64" t="n">
        <f>J64*W64</f>
        <v>0</v>
      </c>
      <c r="BD64" t="n">
        <f>K64*W64</f>
        <v>0</v>
      </c>
      <c r="BE64" t="n">
        <f>L64*W64</f>
        <v>0</v>
      </c>
      <c r="BF64" t="n">
        <f>M64*W64</f>
        <v>0</v>
      </c>
      <c r="BG64" t="n">
        <f>N64*W64</f>
        <v>0</v>
      </c>
      <c r="BH64" t="n">
        <f>O64*W64</f>
        <v>0</v>
      </c>
      <c r="BI64" t="n">
        <f>P64*W64</f>
        <v>0</v>
      </c>
      <c r="BJ64" t="n">
        <f>Q64*W64</f>
        <v>0</v>
      </c>
      <c r="DM64" t="str">
        <f>IF(AND(Projets!A64&lt;&gt;"",Projets!G64="Engager"),DM63&amp;IF(DM63="","",", ")&amp;Projets!B64,DM63)</f>
        <v/>
      </c>
      <c r="DN64" t="str">
        <f>IF(AND(Projets!A64&lt;&gt;"",Projets!G64="Reporter"),DN63&amp;IF(DN63="","",", ")&amp;Projets!B64,DN63)</f>
        <v/>
      </c>
    </row>
    <row r="65">
      <c r="A65" t="n">
        <f>Charges!A65</f>
        <v>0</v>
      </c>
      <c r="B65" t="n">
        <f>Charges!C65</f>
        <v>0</v>
      </c>
      <c r="C65" t="str">
        <f>Charges!D65</f>
        <v/>
      </c>
      <c r="E65" t="n">
        <f>IF(1&lt;=Paramètres!$B$9,MAX(0,IFERROR(N(IF(ISNUMBER(Charges!F65),MAX(0,Charges!F65),IFERROR(VLOOKUP(Charges!F65,Paramètres!$A$15:$B$18,2,FALSE),0))),0)),0)</f>
        <v>0</v>
      </c>
      <c r="F65" t="n">
        <f>IF(2&lt;=Paramètres!$B$9,MAX(0,IFERROR(N(IF(ISNUMBER(Charges!G65),MAX(0,Charges!G65),IFERROR(VLOOKUP(Charges!G65,Paramètres!$A$15:$B$18,2,FALSE),0))),0)),0)</f>
        <v>0</v>
      </c>
      <c r="G65" t="n">
        <f>IF(3&lt;=Paramètres!$B$9,MAX(0,IFERROR(N(IF(ISNUMBER(Charges!H65),MAX(0,Charges!H65),IFERROR(VLOOKUP(Charges!H65,Paramètres!$A$15:$B$18,2,FALSE),0))),0)),0)</f>
        <v>0</v>
      </c>
      <c r="H65" t="n">
        <f>IF(4&lt;=Paramètres!$B$9,MAX(0,IFERROR(N(IF(ISNUMBER(Charges!I65),MAX(0,Charges!I65),IFERROR(VLOOKUP(Charges!I65,Paramètres!$A$15:$B$18,2,FALSE),0))),0)),0)</f>
        <v>0</v>
      </c>
      <c r="I65" t="n">
        <f>IF(5&lt;=Paramètres!$B$9,MAX(0,IFERROR(N(IF(ISNUMBER(Charges!J65),MAX(0,Charges!J65),IFERROR(VLOOKUP(Charges!J65,Paramètres!$A$15:$B$18,2,FALSE),0))),0)),0)</f>
        <v>0</v>
      </c>
      <c r="J65" t="n">
        <f>IF(6&lt;=Paramètres!$B$9,MAX(0,IFERROR(N(IF(ISNUMBER(Charges!K65),MAX(0,Charges!K65),IFERROR(VLOOKUP(Charges!K65,Paramètres!$A$15:$B$18,2,FALSE),0))),0)),0)</f>
        <v>0</v>
      </c>
      <c r="K65" t="n">
        <f>IF(7&lt;=Paramètres!$B$9,MAX(0,IFERROR(N(IF(ISNUMBER(Charges!L65),MAX(0,Charges!L65),IFERROR(VLOOKUP(Charges!L65,Paramètres!$A$15:$B$18,2,FALSE),0))),0)),0)</f>
        <v>0</v>
      </c>
      <c r="L65" t="n">
        <f>IF(8&lt;=Paramètres!$B$9,MAX(0,IFERROR(N(IF(ISNUMBER(Charges!M65),MAX(0,Charges!M65),IFERROR(VLOOKUP(Charges!M65,Paramètres!$A$15:$B$18,2,FALSE),0))),0)),0)</f>
        <v>0</v>
      </c>
      <c r="M65" t="n">
        <f>IF(9&lt;=Paramètres!$B$9,MAX(0,IFERROR(N(IF(ISNUMBER(Charges!N65),MAX(0,Charges!N65),IFERROR(VLOOKUP(Charges!N65,Paramètres!$A$15:$B$18,2,FALSE),0))),0)),0)</f>
        <v>0</v>
      </c>
      <c r="N65" t="n">
        <f>IF(10&lt;=Paramètres!$B$9,MAX(0,IFERROR(N(IF(ISNUMBER(Charges!O65),MAX(0,Charges!O65),IFERROR(VLOOKUP(Charges!O65,Paramètres!$A$15:$B$18,2,FALSE),0))),0)),0)</f>
        <v>0</v>
      </c>
      <c r="O65" t="n">
        <f>IF(11&lt;=Paramètres!$B$9,MAX(0,IFERROR(N(IF(ISNUMBER(Charges!P65),MAX(0,Charges!P65),IFERROR(VLOOKUP(Charges!P65,Paramètres!$A$15:$B$18,2,FALSE),0))),0)),0)</f>
        <v>0</v>
      </c>
      <c r="P65" t="n">
        <f>IF(12&lt;=Paramètres!$B$9,MAX(0,IFERROR(N(IF(ISNUMBER(Charges!Q65),MAX(0,Charges!Q65),IFERROR(VLOOKUP(Charges!Q65,Paramètres!$A$15:$B$18,2,FALSE),0))),0)),0)</f>
        <v>0</v>
      </c>
      <c r="Q65" t="n">
        <f>IF(13&lt;=Paramètres!$B$9,MAX(0,IFERROR(N(IF(ISNUMBER(Charges!R65),MAX(0,Charges!R65),IFERROR(VLOOKUP(Charges!R65,Paramètres!$A$15:$B$18,2,FALSE),0))),0)),0)</f>
        <v>0</v>
      </c>
      <c r="R65" t="n">
        <f>SUM(E65:Q65)</f>
        <v>0</v>
      </c>
      <c r="S65" t="n">
        <f>IF(IFERROR(VLOOKUP(A65,'Projets'!$A$8:$Z$67,7,FALSE),"")="Engager",1,0)</f>
        <v>0</v>
      </c>
      <c r="T65" t="n">
        <f>IF(OR(Charges!F65="",AND(ISNUMBER(Charges!F65),Charges!F65&gt;=0),Charges!F65="S",Charges!F65="M",Charges!F65="L",Charges!F65="XL"),0,1)+IF(OR(Charges!G65="",AND(ISNUMBER(Charges!G65),Charges!G65&gt;=0),Charges!G65="S",Charges!G65="M",Charges!G65="L",Charges!G65="XL"),0,1)+IF(OR(Charges!H65="",AND(ISNUMBER(Charges!H65),Charges!H65&gt;=0),Charges!H65="S",Charges!H65="M",Charges!H65="L",Charges!H65="XL"),0,1)+IF(OR(Charges!I65="",AND(ISNUMBER(Charges!I65),Charges!I65&gt;=0),Charges!I65="S",Charges!I65="M",Charges!I65="L",Charges!I65="XL"),0,1)+IF(OR(Charges!J65="",AND(ISNUMBER(Charges!J65),Charges!J65&gt;=0),Charges!J65="S",Charges!J65="M",Charges!J65="L",Charges!J65="XL"),0,1)+IF(OR(Charges!K65="",AND(ISNUMBER(Charges!K65),Charges!K65&gt;=0),Charges!K65="S",Charges!K65="M",Charges!K65="L",Charges!K65="XL"),0,1)+IF(OR(Charges!L65="",AND(ISNUMBER(Charges!L65),Charges!L65&gt;=0),Charges!L65="S",Charges!L65="M",Charges!L65="L",Charges!L65="XL"),0,1)+IF(OR(Charges!M65="",AND(ISNUMBER(Charges!M65),Charges!M65&gt;=0),Charges!M65="S",Charges!M65="M",Charges!M65="L",Charges!M65="XL"),0,1)+IF(OR(Charges!N65="",AND(ISNUMBER(Charges!N65),Charges!N65&gt;=0),Charges!N65="S",Charges!N65="M",Charges!N65="L",Charges!N65="XL"),0,1)+IF(OR(Charges!O65="",AND(ISNUMBER(Charges!O65),Charges!O65&gt;=0),Charges!O65="S",Charges!O65="M",Charges!O65="L",Charges!O65="XL"),0,1)+IF(OR(Charges!P65="",AND(ISNUMBER(Charges!P65),Charges!P65&gt;=0),Charges!P65="S",Charges!P65="M",Charges!P65="L",Charges!P65="XL"),0,1)+IF(OR(Charges!Q65="",AND(ISNUMBER(Charges!Q65),Charges!Q65&gt;=0),Charges!Q65="S",Charges!Q65="M",Charges!Q65="L",Charges!Q65="XL"),0,1)+IF(OR(Charges!R65="",AND(ISNUMBER(Charges!R65),Charges!R65&gt;=0),Charges!R65="S",Charges!R65="M",Charges!R65="L",Charges!R65="XL"),0,1)</f>
        <v>0</v>
      </c>
      <c r="U65" t="n">
        <f>IF(AND(1&gt;Paramètres!$B$9,Charges!F65&lt;&gt;"",Charges!F65&lt;&gt;0),1,0)+IF(AND(2&gt;Paramètres!$B$9,Charges!G65&lt;&gt;"",Charges!G65&lt;&gt;0),1,0)+IF(AND(3&gt;Paramètres!$B$9,Charges!H65&lt;&gt;"",Charges!H65&lt;&gt;0),1,0)+IF(AND(4&gt;Paramètres!$B$9,Charges!I65&lt;&gt;"",Charges!I65&lt;&gt;0),1,0)+IF(AND(5&gt;Paramètres!$B$9,Charges!J65&lt;&gt;"",Charges!J65&lt;&gt;0),1,0)+IF(AND(6&gt;Paramètres!$B$9,Charges!K65&lt;&gt;"",Charges!K65&lt;&gt;0),1,0)+IF(AND(7&gt;Paramètres!$B$9,Charges!L65&lt;&gt;"",Charges!L65&lt;&gt;0),1,0)+IF(AND(8&gt;Paramètres!$B$9,Charges!M65&lt;&gt;"",Charges!M65&lt;&gt;0),1,0)+IF(AND(9&gt;Paramètres!$B$9,Charges!N65&lt;&gt;"",Charges!N65&lt;&gt;0),1,0)+IF(AND(10&gt;Paramètres!$B$9,Charges!O65&lt;&gt;"",Charges!O65&lt;&gt;0),1,0)+IF(AND(11&gt;Paramètres!$B$9,Charges!P65&lt;&gt;"",Charges!P65&lt;&gt;0),1,0)+IF(AND(12&gt;Paramètres!$B$9,Charges!Q65&lt;&gt;"",Charges!Q65&lt;&gt;0),1,0)+IF(AND(13&gt;Paramètres!$B$9,Charges!R65&lt;&gt;"",Charges!R65&lt;&gt;0),1,0)</f>
        <v>0</v>
      </c>
      <c r="V65" t="n">
        <f>IF(IFERROR(VLOOKUP(A65,'Projets'!$A$8:$Z$67,5,FALSE),"")="Engager",1,0)</f>
        <v>0</v>
      </c>
      <c r="W65" t="n">
        <f>IF(IFERROR(VLOOKUP(A65,'Projets'!$A$8:$Z$67,6,FALSE),"")="Engager",1,0)</f>
        <v>0</v>
      </c>
      <c r="X65" t="n">
        <f>E65*S65</f>
        <v>0</v>
      </c>
      <c r="Y65" t="n">
        <f>F65*S65</f>
        <v>0</v>
      </c>
      <c r="Z65" t="n">
        <f>G65*S65</f>
        <v>0</v>
      </c>
      <c r="AA65" t="n">
        <f>H65*S65</f>
        <v>0</v>
      </c>
      <c r="AB65" t="n">
        <f>I65*S65</f>
        <v>0</v>
      </c>
      <c r="AC65" t="n">
        <f>J65*S65</f>
        <v>0</v>
      </c>
      <c r="AD65" t="n">
        <f>K65*S65</f>
        <v>0</v>
      </c>
      <c r="AE65" t="n">
        <f>L65*S65</f>
        <v>0</v>
      </c>
      <c r="AF65" t="n">
        <f>M65*S65</f>
        <v>0</v>
      </c>
      <c r="AG65" t="n">
        <f>N65*S65</f>
        <v>0</v>
      </c>
      <c r="AH65" t="n">
        <f>O65*S65</f>
        <v>0</v>
      </c>
      <c r="AI65" t="n">
        <f>P65*S65</f>
        <v>0</v>
      </c>
      <c r="AJ65" t="n">
        <f>Q65*S65</f>
        <v>0</v>
      </c>
      <c r="AK65" t="n">
        <f>E65*V65</f>
        <v>0</v>
      </c>
      <c r="AL65" t="n">
        <f>F65*V65</f>
        <v>0</v>
      </c>
      <c r="AM65" t="n">
        <f>G65*V65</f>
        <v>0</v>
      </c>
      <c r="AN65" t="n">
        <f>H65*V65</f>
        <v>0</v>
      </c>
      <c r="AO65" t="n">
        <f>I65*V65</f>
        <v>0</v>
      </c>
      <c r="AP65" t="n">
        <f>J65*V65</f>
        <v>0</v>
      </c>
      <c r="AQ65" t="n">
        <f>K65*V65</f>
        <v>0</v>
      </c>
      <c r="AR65" t="n">
        <f>L65*V65</f>
        <v>0</v>
      </c>
      <c r="AS65" t="n">
        <f>M65*V65</f>
        <v>0</v>
      </c>
      <c r="AT65" t="n">
        <f>N65*V65</f>
        <v>0</v>
      </c>
      <c r="AU65" t="n">
        <f>O65*V65</f>
        <v>0</v>
      </c>
      <c r="AV65" t="n">
        <f>P65*V65</f>
        <v>0</v>
      </c>
      <c r="AW65" t="n">
        <f>Q65*V65</f>
        <v>0</v>
      </c>
      <c r="AX65" t="n">
        <f>E65*W65</f>
        <v>0</v>
      </c>
      <c r="AY65" t="n">
        <f>F65*W65</f>
        <v>0</v>
      </c>
      <c r="AZ65" t="n">
        <f>G65*W65</f>
        <v>0</v>
      </c>
      <c r="BA65" t="n">
        <f>H65*W65</f>
        <v>0</v>
      </c>
      <c r="BB65" t="n">
        <f>I65*W65</f>
        <v>0</v>
      </c>
      <c r="BC65" t="n">
        <f>J65*W65</f>
        <v>0</v>
      </c>
      <c r="BD65" t="n">
        <f>K65*W65</f>
        <v>0</v>
      </c>
      <c r="BE65" t="n">
        <f>L65*W65</f>
        <v>0</v>
      </c>
      <c r="BF65" t="n">
        <f>M65*W65</f>
        <v>0</v>
      </c>
      <c r="BG65" t="n">
        <f>N65*W65</f>
        <v>0</v>
      </c>
      <c r="BH65" t="n">
        <f>O65*W65</f>
        <v>0</v>
      </c>
      <c r="BI65" t="n">
        <f>P65*W65</f>
        <v>0</v>
      </c>
      <c r="BJ65" t="n">
        <f>Q65*W65</f>
        <v>0</v>
      </c>
      <c r="DM65" t="str">
        <f>IF(AND(Projets!A65&lt;&gt;"",Projets!G65="Engager"),DM64&amp;IF(DM64="","",", ")&amp;Projets!B65,DM64)</f>
        <v/>
      </c>
      <c r="DN65" t="str">
        <f>IF(AND(Projets!A65&lt;&gt;"",Projets!G65="Reporter"),DN64&amp;IF(DN64="","",", ")&amp;Projets!B65,DN64)</f>
        <v/>
      </c>
    </row>
    <row r="66">
      <c r="A66" t="n">
        <f>Charges!A66</f>
        <v>0</v>
      </c>
      <c r="B66" t="n">
        <f>Charges!C66</f>
        <v>0</v>
      </c>
      <c r="C66" t="str">
        <f>Charges!D66</f>
        <v/>
      </c>
      <c r="E66" t="n">
        <f>IF(1&lt;=Paramètres!$B$9,MAX(0,IFERROR(N(IF(ISNUMBER(Charges!F66),MAX(0,Charges!F66),IFERROR(VLOOKUP(Charges!F66,Paramètres!$A$15:$B$18,2,FALSE),0))),0)),0)</f>
        <v>0</v>
      </c>
      <c r="F66" t="n">
        <f>IF(2&lt;=Paramètres!$B$9,MAX(0,IFERROR(N(IF(ISNUMBER(Charges!G66),MAX(0,Charges!G66),IFERROR(VLOOKUP(Charges!G66,Paramètres!$A$15:$B$18,2,FALSE),0))),0)),0)</f>
        <v>0</v>
      </c>
      <c r="G66" t="n">
        <f>IF(3&lt;=Paramètres!$B$9,MAX(0,IFERROR(N(IF(ISNUMBER(Charges!H66),MAX(0,Charges!H66),IFERROR(VLOOKUP(Charges!H66,Paramètres!$A$15:$B$18,2,FALSE),0))),0)),0)</f>
        <v>0</v>
      </c>
      <c r="H66" t="n">
        <f>IF(4&lt;=Paramètres!$B$9,MAX(0,IFERROR(N(IF(ISNUMBER(Charges!I66),MAX(0,Charges!I66),IFERROR(VLOOKUP(Charges!I66,Paramètres!$A$15:$B$18,2,FALSE),0))),0)),0)</f>
        <v>0</v>
      </c>
      <c r="I66" t="n">
        <f>IF(5&lt;=Paramètres!$B$9,MAX(0,IFERROR(N(IF(ISNUMBER(Charges!J66),MAX(0,Charges!J66),IFERROR(VLOOKUP(Charges!J66,Paramètres!$A$15:$B$18,2,FALSE),0))),0)),0)</f>
        <v>0</v>
      </c>
      <c r="J66" t="n">
        <f>IF(6&lt;=Paramètres!$B$9,MAX(0,IFERROR(N(IF(ISNUMBER(Charges!K66),MAX(0,Charges!K66),IFERROR(VLOOKUP(Charges!K66,Paramètres!$A$15:$B$18,2,FALSE),0))),0)),0)</f>
        <v>0</v>
      </c>
      <c r="K66" t="n">
        <f>IF(7&lt;=Paramètres!$B$9,MAX(0,IFERROR(N(IF(ISNUMBER(Charges!L66),MAX(0,Charges!L66),IFERROR(VLOOKUP(Charges!L66,Paramètres!$A$15:$B$18,2,FALSE),0))),0)),0)</f>
        <v>0</v>
      </c>
      <c r="L66" t="n">
        <f>IF(8&lt;=Paramètres!$B$9,MAX(0,IFERROR(N(IF(ISNUMBER(Charges!M66),MAX(0,Charges!M66),IFERROR(VLOOKUP(Charges!M66,Paramètres!$A$15:$B$18,2,FALSE),0))),0)),0)</f>
        <v>0</v>
      </c>
      <c r="M66" t="n">
        <f>IF(9&lt;=Paramètres!$B$9,MAX(0,IFERROR(N(IF(ISNUMBER(Charges!N66),MAX(0,Charges!N66),IFERROR(VLOOKUP(Charges!N66,Paramètres!$A$15:$B$18,2,FALSE),0))),0)),0)</f>
        <v>0</v>
      </c>
      <c r="N66" t="n">
        <f>IF(10&lt;=Paramètres!$B$9,MAX(0,IFERROR(N(IF(ISNUMBER(Charges!O66),MAX(0,Charges!O66),IFERROR(VLOOKUP(Charges!O66,Paramètres!$A$15:$B$18,2,FALSE),0))),0)),0)</f>
        <v>0</v>
      </c>
      <c r="O66" t="n">
        <f>IF(11&lt;=Paramètres!$B$9,MAX(0,IFERROR(N(IF(ISNUMBER(Charges!P66),MAX(0,Charges!P66),IFERROR(VLOOKUP(Charges!P66,Paramètres!$A$15:$B$18,2,FALSE),0))),0)),0)</f>
        <v>0</v>
      </c>
      <c r="P66" t="n">
        <f>IF(12&lt;=Paramètres!$B$9,MAX(0,IFERROR(N(IF(ISNUMBER(Charges!Q66),MAX(0,Charges!Q66),IFERROR(VLOOKUP(Charges!Q66,Paramètres!$A$15:$B$18,2,FALSE),0))),0)),0)</f>
        <v>0</v>
      </c>
      <c r="Q66" t="n">
        <f>IF(13&lt;=Paramètres!$B$9,MAX(0,IFERROR(N(IF(ISNUMBER(Charges!R66),MAX(0,Charges!R66),IFERROR(VLOOKUP(Charges!R66,Paramètres!$A$15:$B$18,2,FALSE),0))),0)),0)</f>
        <v>0</v>
      </c>
      <c r="R66" t="n">
        <f>SUM(E66:Q66)</f>
        <v>0</v>
      </c>
      <c r="S66" t="n">
        <f>IF(IFERROR(VLOOKUP(A66,'Projets'!$A$8:$Z$67,7,FALSE),"")="Engager",1,0)</f>
        <v>0</v>
      </c>
      <c r="T66" t="n">
        <f>IF(OR(Charges!F66="",AND(ISNUMBER(Charges!F66),Charges!F66&gt;=0),Charges!F66="S",Charges!F66="M",Charges!F66="L",Charges!F66="XL"),0,1)+IF(OR(Charges!G66="",AND(ISNUMBER(Charges!G66),Charges!G66&gt;=0),Charges!G66="S",Charges!G66="M",Charges!G66="L",Charges!G66="XL"),0,1)+IF(OR(Charges!H66="",AND(ISNUMBER(Charges!H66),Charges!H66&gt;=0),Charges!H66="S",Charges!H66="M",Charges!H66="L",Charges!H66="XL"),0,1)+IF(OR(Charges!I66="",AND(ISNUMBER(Charges!I66),Charges!I66&gt;=0),Charges!I66="S",Charges!I66="M",Charges!I66="L",Charges!I66="XL"),0,1)+IF(OR(Charges!J66="",AND(ISNUMBER(Charges!J66),Charges!J66&gt;=0),Charges!J66="S",Charges!J66="M",Charges!J66="L",Charges!J66="XL"),0,1)+IF(OR(Charges!K66="",AND(ISNUMBER(Charges!K66),Charges!K66&gt;=0),Charges!K66="S",Charges!K66="M",Charges!K66="L",Charges!K66="XL"),0,1)+IF(OR(Charges!L66="",AND(ISNUMBER(Charges!L66),Charges!L66&gt;=0),Charges!L66="S",Charges!L66="M",Charges!L66="L",Charges!L66="XL"),0,1)+IF(OR(Charges!M66="",AND(ISNUMBER(Charges!M66),Charges!M66&gt;=0),Charges!M66="S",Charges!M66="M",Charges!M66="L",Charges!M66="XL"),0,1)+IF(OR(Charges!N66="",AND(ISNUMBER(Charges!N66),Charges!N66&gt;=0),Charges!N66="S",Charges!N66="M",Charges!N66="L",Charges!N66="XL"),0,1)+IF(OR(Charges!O66="",AND(ISNUMBER(Charges!O66),Charges!O66&gt;=0),Charges!O66="S",Charges!O66="M",Charges!O66="L",Charges!O66="XL"),0,1)+IF(OR(Charges!P66="",AND(ISNUMBER(Charges!P66),Charges!P66&gt;=0),Charges!P66="S",Charges!P66="M",Charges!P66="L",Charges!P66="XL"),0,1)+IF(OR(Charges!Q66="",AND(ISNUMBER(Charges!Q66),Charges!Q66&gt;=0),Charges!Q66="S",Charges!Q66="M",Charges!Q66="L",Charges!Q66="XL"),0,1)+IF(OR(Charges!R66="",AND(ISNUMBER(Charges!R66),Charges!R66&gt;=0),Charges!R66="S",Charges!R66="M",Charges!R66="L",Charges!R66="XL"),0,1)</f>
        <v>0</v>
      </c>
      <c r="U66" t="n">
        <f>IF(AND(1&gt;Paramètres!$B$9,Charges!F66&lt;&gt;"",Charges!F66&lt;&gt;0),1,0)+IF(AND(2&gt;Paramètres!$B$9,Charges!G66&lt;&gt;"",Charges!G66&lt;&gt;0),1,0)+IF(AND(3&gt;Paramètres!$B$9,Charges!H66&lt;&gt;"",Charges!H66&lt;&gt;0),1,0)+IF(AND(4&gt;Paramètres!$B$9,Charges!I66&lt;&gt;"",Charges!I66&lt;&gt;0),1,0)+IF(AND(5&gt;Paramètres!$B$9,Charges!J66&lt;&gt;"",Charges!J66&lt;&gt;0),1,0)+IF(AND(6&gt;Paramètres!$B$9,Charges!K66&lt;&gt;"",Charges!K66&lt;&gt;0),1,0)+IF(AND(7&gt;Paramètres!$B$9,Charges!L66&lt;&gt;"",Charges!L66&lt;&gt;0),1,0)+IF(AND(8&gt;Paramètres!$B$9,Charges!M66&lt;&gt;"",Charges!M66&lt;&gt;0),1,0)+IF(AND(9&gt;Paramètres!$B$9,Charges!N66&lt;&gt;"",Charges!N66&lt;&gt;0),1,0)+IF(AND(10&gt;Paramètres!$B$9,Charges!O66&lt;&gt;"",Charges!O66&lt;&gt;0),1,0)+IF(AND(11&gt;Paramètres!$B$9,Charges!P66&lt;&gt;"",Charges!P66&lt;&gt;0),1,0)+IF(AND(12&gt;Paramètres!$B$9,Charges!Q66&lt;&gt;"",Charges!Q66&lt;&gt;0),1,0)+IF(AND(13&gt;Paramètres!$B$9,Charges!R66&lt;&gt;"",Charges!R66&lt;&gt;0),1,0)</f>
        <v>0</v>
      </c>
      <c r="V66" t="n">
        <f>IF(IFERROR(VLOOKUP(A66,'Projets'!$A$8:$Z$67,5,FALSE),"")="Engager",1,0)</f>
        <v>0</v>
      </c>
      <c r="W66" t="n">
        <f>IF(IFERROR(VLOOKUP(A66,'Projets'!$A$8:$Z$67,6,FALSE),"")="Engager",1,0)</f>
        <v>0</v>
      </c>
      <c r="X66" t="n">
        <f>E66*S66</f>
        <v>0</v>
      </c>
      <c r="Y66" t="n">
        <f>F66*S66</f>
        <v>0</v>
      </c>
      <c r="Z66" t="n">
        <f>G66*S66</f>
        <v>0</v>
      </c>
      <c r="AA66" t="n">
        <f>H66*S66</f>
        <v>0</v>
      </c>
      <c r="AB66" t="n">
        <f>I66*S66</f>
        <v>0</v>
      </c>
      <c r="AC66" t="n">
        <f>J66*S66</f>
        <v>0</v>
      </c>
      <c r="AD66" t="n">
        <f>K66*S66</f>
        <v>0</v>
      </c>
      <c r="AE66" t="n">
        <f>L66*S66</f>
        <v>0</v>
      </c>
      <c r="AF66" t="n">
        <f>M66*S66</f>
        <v>0</v>
      </c>
      <c r="AG66" t="n">
        <f>N66*S66</f>
        <v>0</v>
      </c>
      <c r="AH66" t="n">
        <f>O66*S66</f>
        <v>0</v>
      </c>
      <c r="AI66" t="n">
        <f>P66*S66</f>
        <v>0</v>
      </c>
      <c r="AJ66" t="n">
        <f>Q66*S66</f>
        <v>0</v>
      </c>
      <c r="AK66" t="n">
        <f>E66*V66</f>
        <v>0</v>
      </c>
      <c r="AL66" t="n">
        <f>F66*V66</f>
        <v>0</v>
      </c>
      <c r="AM66" t="n">
        <f>G66*V66</f>
        <v>0</v>
      </c>
      <c r="AN66" t="n">
        <f>H66*V66</f>
        <v>0</v>
      </c>
      <c r="AO66" t="n">
        <f>I66*V66</f>
        <v>0</v>
      </c>
      <c r="AP66" t="n">
        <f>J66*V66</f>
        <v>0</v>
      </c>
      <c r="AQ66" t="n">
        <f>K66*V66</f>
        <v>0</v>
      </c>
      <c r="AR66" t="n">
        <f>L66*V66</f>
        <v>0</v>
      </c>
      <c r="AS66" t="n">
        <f>M66*V66</f>
        <v>0</v>
      </c>
      <c r="AT66" t="n">
        <f>N66*V66</f>
        <v>0</v>
      </c>
      <c r="AU66" t="n">
        <f>O66*V66</f>
        <v>0</v>
      </c>
      <c r="AV66" t="n">
        <f>P66*V66</f>
        <v>0</v>
      </c>
      <c r="AW66" t="n">
        <f>Q66*V66</f>
        <v>0</v>
      </c>
      <c r="AX66" t="n">
        <f>E66*W66</f>
        <v>0</v>
      </c>
      <c r="AY66" t="n">
        <f>F66*W66</f>
        <v>0</v>
      </c>
      <c r="AZ66" t="n">
        <f>G66*W66</f>
        <v>0</v>
      </c>
      <c r="BA66" t="n">
        <f>H66*W66</f>
        <v>0</v>
      </c>
      <c r="BB66" t="n">
        <f>I66*W66</f>
        <v>0</v>
      </c>
      <c r="BC66" t="n">
        <f>J66*W66</f>
        <v>0</v>
      </c>
      <c r="BD66" t="n">
        <f>K66*W66</f>
        <v>0</v>
      </c>
      <c r="BE66" t="n">
        <f>L66*W66</f>
        <v>0</v>
      </c>
      <c r="BF66" t="n">
        <f>M66*W66</f>
        <v>0</v>
      </c>
      <c r="BG66" t="n">
        <f>N66*W66</f>
        <v>0</v>
      </c>
      <c r="BH66" t="n">
        <f>O66*W66</f>
        <v>0</v>
      </c>
      <c r="BI66" t="n">
        <f>P66*W66</f>
        <v>0</v>
      </c>
      <c r="BJ66" t="n">
        <f>Q66*W66</f>
        <v>0</v>
      </c>
      <c r="DM66" t="str">
        <f>IF(AND(Projets!A66&lt;&gt;"",Projets!G66="Engager"),DM65&amp;IF(DM65="","",", ")&amp;Projets!B66,DM65)</f>
        <v/>
      </c>
      <c r="DN66" t="str">
        <f>IF(AND(Projets!A66&lt;&gt;"",Projets!G66="Reporter"),DN65&amp;IF(DN65="","",", ")&amp;Projets!B66,DN65)</f>
        <v/>
      </c>
    </row>
    <row r="67">
      <c r="A67" t="n">
        <f>Charges!A67</f>
        <v>0</v>
      </c>
      <c r="B67" t="n">
        <f>Charges!C67</f>
        <v>0</v>
      </c>
      <c r="C67" t="str">
        <f>Charges!D67</f>
        <v/>
      </c>
      <c r="E67" t="n">
        <f>IF(1&lt;=Paramètres!$B$9,MAX(0,IFERROR(N(IF(ISNUMBER(Charges!F67),MAX(0,Charges!F67),IFERROR(VLOOKUP(Charges!F67,Paramètres!$A$15:$B$18,2,FALSE),0))),0)),0)</f>
        <v>0</v>
      </c>
      <c r="F67" t="n">
        <f>IF(2&lt;=Paramètres!$B$9,MAX(0,IFERROR(N(IF(ISNUMBER(Charges!G67),MAX(0,Charges!G67),IFERROR(VLOOKUP(Charges!G67,Paramètres!$A$15:$B$18,2,FALSE),0))),0)),0)</f>
        <v>0</v>
      </c>
      <c r="G67" t="n">
        <f>IF(3&lt;=Paramètres!$B$9,MAX(0,IFERROR(N(IF(ISNUMBER(Charges!H67),MAX(0,Charges!H67),IFERROR(VLOOKUP(Charges!H67,Paramètres!$A$15:$B$18,2,FALSE),0))),0)),0)</f>
        <v>0</v>
      </c>
      <c r="H67" t="n">
        <f>IF(4&lt;=Paramètres!$B$9,MAX(0,IFERROR(N(IF(ISNUMBER(Charges!I67),MAX(0,Charges!I67),IFERROR(VLOOKUP(Charges!I67,Paramètres!$A$15:$B$18,2,FALSE),0))),0)),0)</f>
        <v>0</v>
      </c>
      <c r="I67" t="n">
        <f>IF(5&lt;=Paramètres!$B$9,MAX(0,IFERROR(N(IF(ISNUMBER(Charges!J67),MAX(0,Charges!J67),IFERROR(VLOOKUP(Charges!J67,Paramètres!$A$15:$B$18,2,FALSE),0))),0)),0)</f>
        <v>0</v>
      </c>
      <c r="J67" t="n">
        <f>IF(6&lt;=Paramètres!$B$9,MAX(0,IFERROR(N(IF(ISNUMBER(Charges!K67),MAX(0,Charges!K67),IFERROR(VLOOKUP(Charges!K67,Paramètres!$A$15:$B$18,2,FALSE),0))),0)),0)</f>
        <v>0</v>
      </c>
      <c r="K67" t="n">
        <f>IF(7&lt;=Paramètres!$B$9,MAX(0,IFERROR(N(IF(ISNUMBER(Charges!L67),MAX(0,Charges!L67),IFERROR(VLOOKUP(Charges!L67,Paramètres!$A$15:$B$18,2,FALSE),0))),0)),0)</f>
        <v>0</v>
      </c>
      <c r="L67" t="n">
        <f>IF(8&lt;=Paramètres!$B$9,MAX(0,IFERROR(N(IF(ISNUMBER(Charges!M67),MAX(0,Charges!M67),IFERROR(VLOOKUP(Charges!M67,Paramètres!$A$15:$B$18,2,FALSE),0))),0)),0)</f>
        <v>0</v>
      </c>
      <c r="M67" t="n">
        <f>IF(9&lt;=Paramètres!$B$9,MAX(0,IFERROR(N(IF(ISNUMBER(Charges!N67),MAX(0,Charges!N67),IFERROR(VLOOKUP(Charges!N67,Paramètres!$A$15:$B$18,2,FALSE),0))),0)),0)</f>
        <v>0</v>
      </c>
      <c r="N67" t="n">
        <f>IF(10&lt;=Paramètres!$B$9,MAX(0,IFERROR(N(IF(ISNUMBER(Charges!O67),MAX(0,Charges!O67),IFERROR(VLOOKUP(Charges!O67,Paramètres!$A$15:$B$18,2,FALSE),0))),0)),0)</f>
        <v>0</v>
      </c>
      <c r="O67" t="n">
        <f>IF(11&lt;=Paramètres!$B$9,MAX(0,IFERROR(N(IF(ISNUMBER(Charges!P67),MAX(0,Charges!P67),IFERROR(VLOOKUP(Charges!P67,Paramètres!$A$15:$B$18,2,FALSE),0))),0)),0)</f>
        <v>0</v>
      </c>
      <c r="P67" t="n">
        <f>IF(12&lt;=Paramètres!$B$9,MAX(0,IFERROR(N(IF(ISNUMBER(Charges!Q67),MAX(0,Charges!Q67),IFERROR(VLOOKUP(Charges!Q67,Paramètres!$A$15:$B$18,2,FALSE),0))),0)),0)</f>
        <v>0</v>
      </c>
      <c r="Q67" t="n">
        <f>IF(13&lt;=Paramètres!$B$9,MAX(0,IFERROR(N(IF(ISNUMBER(Charges!R67),MAX(0,Charges!R67),IFERROR(VLOOKUP(Charges!R67,Paramètres!$A$15:$B$18,2,FALSE),0))),0)),0)</f>
        <v>0</v>
      </c>
      <c r="R67" t="n">
        <f>SUM(E67:Q67)</f>
        <v>0</v>
      </c>
      <c r="S67" t="n">
        <f>IF(IFERROR(VLOOKUP(A67,'Projets'!$A$8:$Z$67,7,FALSE),"")="Engager",1,0)</f>
        <v>0</v>
      </c>
      <c r="T67" t="n">
        <f>IF(OR(Charges!F67="",AND(ISNUMBER(Charges!F67),Charges!F67&gt;=0),Charges!F67="S",Charges!F67="M",Charges!F67="L",Charges!F67="XL"),0,1)+IF(OR(Charges!G67="",AND(ISNUMBER(Charges!G67),Charges!G67&gt;=0),Charges!G67="S",Charges!G67="M",Charges!G67="L",Charges!G67="XL"),0,1)+IF(OR(Charges!H67="",AND(ISNUMBER(Charges!H67),Charges!H67&gt;=0),Charges!H67="S",Charges!H67="M",Charges!H67="L",Charges!H67="XL"),0,1)+IF(OR(Charges!I67="",AND(ISNUMBER(Charges!I67),Charges!I67&gt;=0),Charges!I67="S",Charges!I67="M",Charges!I67="L",Charges!I67="XL"),0,1)+IF(OR(Charges!J67="",AND(ISNUMBER(Charges!J67),Charges!J67&gt;=0),Charges!J67="S",Charges!J67="M",Charges!J67="L",Charges!J67="XL"),0,1)+IF(OR(Charges!K67="",AND(ISNUMBER(Charges!K67),Charges!K67&gt;=0),Charges!K67="S",Charges!K67="M",Charges!K67="L",Charges!K67="XL"),0,1)+IF(OR(Charges!L67="",AND(ISNUMBER(Charges!L67),Charges!L67&gt;=0),Charges!L67="S",Charges!L67="M",Charges!L67="L",Charges!L67="XL"),0,1)+IF(OR(Charges!M67="",AND(ISNUMBER(Charges!M67),Charges!M67&gt;=0),Charges!M67="S",Charges!M67="M",Charges!M67="L",Charges!M67="XL"),0,1)+IF(OR(Charges!N67="",AND(ISNUMBER(Charges!N67),Charges!N67&gt;=0),Charges!N67="S",Charges!N67="M",Charges!N67="L",Charges!N67="XL"),0,1)+IF(OR(Charges!O67="",AND(ISNUMBER(Charges!O67),Charges!O67&gt;=0),Charges!O67="S",Charges!O67="M",Charges!O67="L",Charges!O67="XL"),0,1)+IF(OR(Charges!P67="",AND(ISNUMBER(Charges!P67),Charges!P67&gt;=0),Charges!P67="S",Charges!P67="M",Charges!P67="L",Charges!P67="XL"),0,1)+IF(OR(Charges!Q67="",AND(ISNUMBER(Charges!Q67),Charges!Q67&gt;=0),Charges!Q67="S",Charges!Q67="M",Charges!Q67="L",Charges!Q67="XL"),0,1)+IF(OR(Charges!R67="",AND(ISNUMBER(Charges!R67),Charges!R67&gt;=0),Charges!R67="S",Charges!R67="M",Charges!R67="L",Charges!R67="XL"),0,1)</f>
        <v>0</v>
      </c>
      <c r="U67" t="n">
        <f>IF(AND(1&gt;Paramètres!$B$9,Charges!F67&lt;&gt;"",Charges!F67&lt;&gt;0),1,0)+IF(AND(2&gt;Paramètres!$B$9,Charges!G67&lt;&gt;"",Charges!G67&lt;&gt;0),1,0)+IF(AND(3&gt;Paramètres!$B$9,Charges!H67&lt;&gt;"",Charges!H67&lt;&gt;0),1,0)+IF(AND(4&gt;Paramètres!$B$9,Charges!I67&lt;&gt;"",Charges!I67&lt;&gt;0),1,0)+IF(AND(5&gt;Paramètres!$B$9,Charges!J67&lt;&gt;"",Charges!J67&lt;&gt;0),1,0)+IF(AND(6&gt;Paramètres!$B$9,Charges!K67&lt;&gt;"",Charges!K67&lt;&gt;0),1,0)+IF(AND(7&gt;Paramètres!$B$9,Charges!L67&lt;&gt;"",Charges!L67&lt;&gt;0),1,0)+IF(AND(8&gt;Paramètres!$B$9,Charges!M67&lt;&gt;"",Charges!M67&lt;&gt;0),1,0)+IF(AND(9&gt;Paramètres!$B$9,Charges!N67&lt;&gt;"",Charges!N67&lt;&gt;0),1,0)+IF(AND(10&gt;Paramètres!$B$9,Charges!O67&lt;&gt;"",Charges!O67&lt;&gt;0),1,0)+IF(AND(11&gt;Paramètres!$B$9,Charges!P67&lt;&gt;"",Charges!P67&lt;&gt;0),1,0)+IF(AND(12&gt;Paramètres!$B$9,Charges!Q67&lt;&gt;"",Charges!Q67&lt;&gt;0),1,0)+IF(AND(13&gt;Paramètres!$B$9,Charges!R67&lt;&gt;"",Charges!R67&lt;&gt;0),1,0)</f>
        <v>0</v>
      </c>
      <c r="V67" t="n">
        <f>IF(IFERROR(VLOOKUP(A67,'Projets'!$A$8:$Z$67,5,FALSE),"")="Engager",1,0)</f>
        <v>0</v>
      </c>
      <c r="W67" t="n">
        <f>IF(IFERROR(VLOOKUP(A67,'Projets'!$A$8:$Z$67,6,FALSE),"")="Engager",1,0)</f>
        <v>0</v>
      </c>
      <c r="X67" t="n">
        <f>E67*S67</f>
        <v>0</v>
      </c>
      <c r="Y67" t="n">
        <f>F67*S67</f>
        <v>0</v>
      </c>
      <c r="Z67" t="n">
        <f>G67*S67</f>
        <v>0</v>
      </c>
      <c r="AA67" t="n">
        <f>H67*S67</f>
        <v>0</v>
      </c>
      <c r="AB67" t="n">
        <f>I67*S67</f>
        <v>0</v>
      </c>
      <c r="AC67" t="n">
        <f>J67*S67</f>
        <v>0</v>
      </c>
      <c r="AD67" t="n">
        <f>K67*S67</f>
        <v>0</v>
      </c>
      <c r="AE67" t="n">
        <f>L67*S67</f>
        <v>0</v>
      </c>
      <c r="AF67" t="n">
        <f>M67*S67</f>
        <v>0</v>
      </c>
      <c r="AG67" t="n">
        <f>N67*S67</f>
        <v>0</v>
      </c>
      <c r="AH67" t="n">
        <f>O67*S67</f>
        <v>0</v>
      </c>
      <c r="AI67" t="n">
        <f>P67*S67</f>
        <v>0</v>
      </c>
      <c r="AJ67" t="n">
        <f>Q67*S67</f>
        <v>0</v>
      </c>
      <c r="AK67" t="n">
        <f>E67*V67</f>
        <v>0</v>
      </c>
      <c r="AL67" t="n">
        <f>F67*V67</f>
        <v>0</v>
      </c>
      <c r="AM67" t="n">
        <f>G67*V67</f>
        <v>0</v>
      </c>
      <c r="AN67" t="n">
        <f>H67*V67</f>
        <v>0</v>
      </c>
      <c r="AO67" t="n">
        <f>I67*V67</f>
        <v>0</v>
      </c>
      <c r="AP67" t="n">
        <f>J67*V67</f>
        <v>0</v>
      </c>
      <c r="AQ67" t="n">
        <f>K67*V67</f>
        <v>0</v>
      </c>
      <c r="AR67" t="n">
        <f>L67*V67</f>
        <v>0</v>
      </c>
      <c r="AS67" t="n">
        <f>M67*V67</f>
        <v>0</v>
      </c>
      <c r="AT67" t="n">
        <f>N67*V67</f>
        <v>0</v>
      </c>
      <c r="AU67" t="n">
        <f>O67*V67</f>
        <v>0</v>
      </c>
      <c r="AV67" t="n">
        <f>P67*V67</f>
        <v>0</v>
      </c>
      <c r="AW67" t="n">
        <f>Q67*V67</f>
        <v>0</v>
      </c>
      <c r="AX67" t="n">
        <f>E67*W67</f>
        <v>0</v>
      </c>
      <c r="AY67" t="n">
        <f>F67*W67</f>
        <v>0</v>
      </c>
      <c r="AZ67" t="n">
        <f>G67*W67</f>
        <v>0</v>
      </c>
      <c r="BA67" t="n">
        <f>H67*W67</f>
        <v>0</v>
      </c>
      <c r="BB67" t="n">
        <f>I67*W67</f>
        <v>0</v>
      </c>
      <c r="BC67" t="n">
        <f>J67*W67</f>
        <v>0</v>
      </c>
      <c r="BD67" t="n">
        <f>K67*W67</f>
        <v>0</v>
      </c>
      <c r="BE67" t="n">
        <f>L67*W67</f>
        <v>0</v>
      </c>
      <c r="BF67" t="n">
        <f>M67*W67</f>
        <v>0</v>
      </c>
      <c r="BG67" t="n">
        <f>N67*W67</f>
        <v>0</v>
      </c>
      <c r="BH67" t="n">
        <f>O67*W67</f>
        <v>0</v>
      </c>
      <c r="BI67" t="n">
        <f>P67*W67</f>
        <v>0</v>
      </c>
      <c r="BJ67" t="n">
        <f>Q67*W67</f>
        <v>0</v>
      </c>
      <c r="DM67" t="str">
        <f>IF(AND(Projets!A67&lt;&gt;"",Projets!G67="Engager"),DM66&amp;IF(DM66="","",", ")&amp;Projets!B67,DM66)</f>
        <v/>
      </c>
      <c r="DN67" t="str">
        <f>IF(AND(Projets!A67&lt;&gt;"",Projets!G67="Reporter"),DN66&amp;IF(DN66="","",", ")&amp;Projets!B67,DN66)</f>
        <v/>
      </c>
    </row>
    <row r="68">
      <c r="A68" t="n">
        <f>Charges!A68</f>
        <v>0</v>
      </c>
      <c r="B68" t="n">
        <f>Charges!C68</f>
        <v>0</v>
      </c>
      <c r="C68" t="str">
        <f>Charges!D68</f>
        <v/>
      </c>
      <c r="E68" t="n">
        <f>IF(1&lt;=Paramètres!$B$9,MAX(0,IFERROR(N(IF(ISNUMBER(Charges!F68),MAX(0,Charges!F68),IFERROR(VLOOKUP(Charges!F68,Paramètres!$A$15:$B$18,2,FALSE),0))),0)),0)</f>
        <v>0</v>
      </c>
      <c r="F68" t="n">
        <f>IF(2&lt;=Paramètres!$B$9,MAX(0,IFERROR(N(IF(ISNUMBER(Charges!G68),MAX(0,Charges!G68),IFERROR(VLOOKUP(Charges!G68,Paramètres!$A$15:$B$18,2,FALSE),0))),0)),0)</f>
        <v>0</v>
      </c>
      <c r="G68" t="n">
        <f>IF(3&lt;=Paramètres!$B$9,MAX(0,IFERROR(N(IF(ISNUMBER(Charges!H68),MAX(0,Charges!H68),IFERROR(VLOOKUP(Charges!H68,Paramètres!$A$15:$B$18,2,FALSE),0))),0)),0)</f>
        <v>0</v>
      </c>
      <c r="H68" t="n">
        <f>IF(4&lt;=Paramètres!$B$9,MAX(0,IFERROR(N(IF(ISNUMBER(Charges!I68),MAX(0,Charges!I68),IFERROR(VLOOKUP(Charges!I68,Paramètres!$A$15:$B$18,2,FALSE),0))),0)),0)</f>
        <v>0</v>
      </c>
      <c r="I68" t="n">
        <f>IF(5&lt;=Paramètres!$B$9,MAX(0,IFERROR(N(IF(ISNUMBER(Charges!J68),MAX(0,Charges!J68),IFERROR(VLOOKUP(Charges!J68,Paramètres!$A$15:$B$18,2,FALSE),0))),0)),0)</f>
        <v>0</v>
      </c>
      <c r="J68" t="n">
        <f>IF(6&lt;=Paramètres!$B$9,MAX(0,IFERROR(N(IF(ISNUMBER(Charges!K68),MAX(0,Charges!K68),IFERROR(VLOOKUP(Charges!K68,Paramètres!$A$15:$B$18,2,FALSE),0))),0)),0)</f>
        <v>0</v>
      </c>
      <c r="K68" t="n">
        <f>IF(7&lt;=Paramètres!$B$9,MAX(0,IFERROR(N(IF(ISNUMBER(Charges!L68),MAX(0,Charges!L68),IFERROR(VLOOKUP(Charges!L68,Paramètres!$A$15:$B$18,2,FALSE),0))),0)),0)</f>
        <v>0</v>
      </c>
      <c r="L68" t="n">
        <f>IF(8&lt;=Paramètres!$B$9,MAX(0,IFERROR(N(IF(ISNUMBER(Charges!M68),MAX(0,Charges!M68),IFERROR(VLOOKUP(Charges!M68,Paramètres!$A$15:$B$18,2,FALSE),0))),0)),0)</f>
        <v>0</v>
      </c>
      <c r="M68" t="n">
        <f>IF(9&lt;=Paramètres!$B$9,MAX(0,IFERROR(N(IF(ISNUMBER(Charges!N68),MAX(0,Charges!N68),IFERROR(VLOOKUP(Charges!N68,Paramètres!$A$15:$B$18,2,FALSE),0))),0)),0)</f>
        <v>0</v>
      </c>
      <c r="N68" t="n">
        <f>IF(10&lt;=Paramètres!$B$9,MAX(0,IFERROR(N(IF(ISNUMBER(Charges!O68),MAX(0,Charges!O68),IFERROR(VLOOKUP(Charges!O68,Paramètres!$A$15:$B$18,2,FALSE),0))),0)),0)</f>
        <v>0</v>
      </c>
      <c r="O68" t="n">
        <f>IF(11&lt;=Paramètres!$B$9,MAX(0,IFERROR(N(IF(ISNUMBER(Charges!P68),MAX(0,Charges!P68),IFERROR(VLOOKUP(Charges!P68,Paramètres!$A$15:$B$18,2,FALSE),0))),0)),0)</f>
        <v>0</v>
      </c>
      <c r="P68" t="n">
        <f>IF(12&lt;=Paramètres!$B$9,MAX(0,IFERROR(N(IF(ISNUMBER(Charges!Q68),MAX(0,Charges!Q68),IFERROR(VLOOKUP(Charges!Q68,Paramètres!$A$15:$B$18,2,FALSE),0))),0)),0)</f>
        <v>0</v>
      </c>
      <c r="Q68" t="n">
        <f>IF(13&lt;=Paramètres!$B$9,MAX(0,IFERROR(N(IF(ISNUMBER(Charges!R68),MAX(0,Charges!R68),IFERROR(VLOOKUP(Charges!R68,Paramètres!$A$15:$B$18,2,FALSE),0))),0)),0)</f>
        <v>0</v>
      </c>
      <c r="R68" t="n">
        <f>SUM(E68:Q68)</f>
        <v>0</v>
      </c>
      <c r="S68" t="n">
        <f>IF(IFERROR(VLOOKUP(A68,'Projets'!$A$8:$Z$67,7,FALSE),"")="Engager",1,0)</f>
        <v>0</v>
      </c>
      <c r="T68" t="n">
        <f>IF(OR(Charges!F68="",AND(ISNUMBER(Charges!F68),Charges!F68&gt;=0),Charges!F68="S",Charges!F68="M",Charges!F68="L",Charges!F68="XL"),0,1)+IF(OR(Charges!G68="",AND(ISNUMBER(Charges!G68),Charges!G68&gt;=0),Charges!G68="S",Charges!G68="M",Charges!G68="L",Charges!G68="XL"),0,1)+IF(OR(Charges!H68="",AND(ISNUMBER(Charges!H68),Charges!H68&gt;=0),Charges!H68="S",Charges!H68="M",Charges!H68="L",Charges!H68="XL"),0,1)+IF(OR(Charges!I68="",AND(ISNUMBER(Charges!I68),Charges!I68&gt;=0),Charges!I68="S",Charges!I68="M",Charges!I68="L",Charges!I68="XL"),0,1)+IF(OR(Charges!J68="",AND(ISNUMBER(Charges!J68),Charges!J68&gt;=0),Charges!J68="S",Charges!J68="M",Charges!J68="L",Charges!J68="XL"),0,1)+IF(OR(Charges!K68="",AND(ISNUMBER(Charges!K68),Charges!K68&gt;=0),Charges!K68="S",Charges!K68="M",Charges!K68="L",Charges!K68="XL"),0,1)+IF(OR(Charges!L68="",AND(ISNUMBER(Charges!L68),Charges!L68&gt;=0),Charges!L68="S",Charges!L68="M",Charges!L68="L",Charges!L68="XL"),0,1)+IF(OR(Charges!M68="",AND(ISNUMBER(Charges!M68),Charges!M68&gt;=0),Charges!M68="S",Charges!M68="M",Charges!M68="L",Charges!M68="XL"),0,1)+IF(OR(Charges!N68="",AND(ISNUMBER(Charges!N68),Charges!N68&gt;=0),Charges!N68="S",Charges!N68="M",Charges!N68="L",Charges!N68="XL"),0,1)+IF(OR(Charges!O68="",AND(ISNUMBER(Charges!O68),Charges!O68&gt;=0),Charges!O68="S",Charges!O68="M",Charges!O68="L",Charges!O68="XL"),0,1)+IF(OR(Charges!P68="",AND(ISNUMBER(Charges!P68),Charges!P68&gt;=0),Charges!P68="S",Charges!P68="M",Charges!P68="L",Charges!P68="XL"),0,1)+IF(OR(Charges!Q68="",AND(ISNUMBER(Charges!Q68),Charges!Q68&gt;=0),Charges!Q68="S",Charges!Q68="M",Charges!Q68="L",Charges!Q68="XL"),0,1)+IF(OR(Charges!R68="",AND(ISNUMBER(Charges!R68),Charges!R68&gt;=0),Charges!R68="S",Charges!R68="M",Charges!R68="L",Charges!R68="XL"),0,1)</f>
        <v>0</v>
      </c>
      <c r="U68" t="n">
        <f>IF(AND(1&gt;Paramètres!$B$9,Charges!F68&lt;&gt;"",Charges!F68&lt;&gt;0),1,0)+IF(AND(2&gt;Paramètres!$B$9,Charges!G68&lt;&gt;"",Charges!G68&lt;&gt;0),1,0)+IF(AND(3&gt;Paramètres!$B$9,Charges!H68&lt;&gt;"",Charges!H68&lt;&gt;0),1,0)+IF(AND(4&gt;Paramètres!$B$9,Charges!I68&lt;&gt;"",Charges!I68&lt;&gt;0),1,0)+IF(AND(5&gt;Paramètres!$B$9,Charges!J68&lt;&gt;"",Charges!J68&lt;&gt;0),1,0)+IF(AND(6&gt;Paramètres!$B$9,Charges!K68&lt;&gt;"",Charges!K68&lt;&gt;0),1,0)+IF(AND(7&gt;Paramètres!$B$9,Charges!L68&lt;&gt;"",Charges!L68&lt;&gt;0),1,0)+IF(AND(8&gt;Paramètres!$B$9,Charges!M68&lt;&gt;"",Charges!M68&lt;&gt;0),1,0)+IF(AND(9&gt;Paramètres!$B$9,Charges!N68&lt;&gt;"",Charges!N68&lt;&gt;0),1,0)+IF(AND(10&gt;Paramètres!$B$9,Charges!O68&lt;&gt;"",Charges!O68&lt;&gt;0),1,0)+IF(AND(11&gt;Paramètres!$B$9,Charges!P68&lt;&gt;"",Charges!P68&lt;&gt;0),1,0)+IF(AND(12&gt;Paramètres!$B$9,Charges!Q68&lt;&gt;"",Charges!Q68&lt;&gt;0),1,0)+IF(AND(13&gt;Paramètres!$B$9,Charges!R68&lt;&gt;"",Charges!R68&lt;&gt;0),1,0)</f>
        <v>0</v>
      </c>
      <c r="V68" t="n">
        <f>IF(IFERROR(VLOOKUP(A68,'Projets'!$A$8:$Z$67,5,FALSE),"")="Engager",1,0)</f>
        <v>0</v>
      </c>
      <c r="W68" t="n">
        <f>IF(IFERROR(VLOOKUP(A68,'Projets'!$A$8:$Z$67,6,FALSE),"")="Engager",1,0)</f>
        <v>0</v>
      </c>
      <c r="X68" t="n">
        <f>E68*S68</f>
        <v>0</v>
      </c>
      <c r="Y68" t="n">
        <f>F68*S68</f>
        <v>0</v>
      </c>
      <c r="Z68" t="n">
        <f>G68*S68</f>
        <v>0</v>
      </c>
      <c r="AA68" t="n">
        <f>H68*S68</f>
        <v>0</v>
      </c>
      <c r="AB68" t="n">
        <f>I68*S68</f>
        <v>0</v>
      </c>
      <c r="AC68" t="n">
        <f>J68*S68</f>
        <v>0</v>
      </c>
      <c r="AD68" t="n">
        <f>K68*S68</f>
        <v>0</v>
      </c>
      <c r="AE68" t="n">
        <f>L68*S68</f>
        <v>0</v>
      </c>
      <c r="AF68" t="n">
        <f>M68*S68</f>
        <v>0</v>
      </c>
      <c r="AG68" t="n">
        <f>N68*S68</f>
        <v>0</v>
      </c>
      <c r="AH68" t="n">
        <f>O68*S68</f>
        <v>0</v>
      </c>
      <c r="AI68" t="n">
        <f>P68*S68</f>
        <v>0</v>
      </c>
      <c r="AJ68" t="n">
        <f>Q68*S68</f>
        <v>0</v>
      </c>
      <c r="AK68" t="n">
        <f>E68*V68</f>
        <v>0</v>
      </c>
      <c r="AL68" t="n">
        <f>F68*V68</f>
        <v>0</v>
      </c>
      <c r="AM68" t="n">
        <f>G68*V68</f>
        <v>0</v>
      </c>
      <c r="AN68" t="n">
        <f>H68*V68</f>
        <v>0</v>
      </c>
      <c r="AO68" t="n">
        <f>I68*V68</f>
        <v>0</v>
      </c>
      <c r="AP68" t="n">
        <f>J68*V68</f>
        <v>0</v>
      </c>
      <c r="AQ68" t="n">
        <f>K68*V68</f>
        <v>0</v>
      </c>
      <c r="AR68" t="n">
        <f>L68*V68</f>
        <v>0</v>
      </c>
      <c r="AS68" t="n">
        <f>M68*V68</f>
        <v>0</v>
      </c>
      <c r="AT68" t="n">
        <f>N68*V68</f>
        <v>0</v>
      </c>
      <c r="AU68" t="n">
        <f>O68*V68</f>
        <v>0</v>
      </c>
      <c r="AV68" t="n">
        <f>P68*V68</f>
        <v>0</v>
      </c>
      <c r="AW68" t="n">
        <f>Q68*V68</f>
        <v>0</v>
      </c>
      <c r="AX68" t="n">
        <f>E68*W68</f>
        <v>0</v>
      </c>
      <c r="AY68" t="n">
        <f>F68*W68</f>
        <v>0</v>
      </c>
      <c r="AZ68" t="n">
        <f>G68*W68</f>
        <v>0</v>
      </c>
      <c r="BA68" t="n">
        <f>H68*W68</f>
        <v>0</v>
      </c>
      <c r="BB68" t="n">
        <f>I68*W68</f>
        <v>0</v>
      </c>
      <c r="BC68" t="n">
        <f>J68*W68</f>
        <v>0</v>
      </c>
      <c r="BD68" t="n">
        <f>K68*W68</f>
        <v>0</v>
      </c>
      <c r="BE68" t="n">
        <f>L68*W68</f>
        <v>0</v>
      </c>
      <c r="BF68" t="n">
        <f>M68*W68</f>
        <v>0</v>
      </c>
      <c r="BG68" t="n">
        <f>N68*W68</f>
        <v>0</v>
      </c>
      <c r="BH68" t="n">
        <f>O68*W68</f>
        <v>0</v>
      </c>
      <c r="BI68" t="n">
        <f>P68*W68</f>
        <v>0</v>
      </c>
      <c r="BJ68" t="n">
        <f>Q68*W68</f>
        <v>0</v>
      </c>
    </row>
    <row r="69">
      <c r="A69" t="n">
        <f>Charges!A69</f>
        <v>0</v>
      </c>
      <c r="B69" t="n">
        <f>Charges!C69</f>
        <v>0</v>
      </c>
      <c r="C69" t="str">
        <f>Charges!D69</f>
        <v/>
      </c>
      <c r="E69" t="n">
        <f>IF(1&lt;=Paramètres!$B$9,MAX(0,IFERROR(N(IF(ISNUMBER(Charges!F69),MAX(0,Charges!F69),IFERROR(VLOOKUP(Charges!F69,Paramètres!$A$15:$B$18,2,FALSE),0))),0)),0)</f>
        <v>0</v>
      </c>
      <c r="F69" t="n">
        <f>IF(2&lt;=Paramètres!$B$9,MAX(0,IFERROR(N(IF(ISNUMBER(Charges!G69),MAX(0,Charges!G69),IFERROR(VLOOKUP(Charges!G69,Paramètres!$A$15:$B$18,2,FALSE),0))),0)),0)</f>
        <v>0</v>
      </c>
      <c r="G69" t="n">
        <f>IF(3&lt;=Paramètres!$B$9,MAX(0,IFERROR(N(IF(ISNUMBER(Charges!H69),MAX(0,Charges!H69),IFERROR(VLOOKUP(Charges!H69,Paramètres!$A$15:$B$18,2,FALSE),0))),0)),0)</f>
        <v>0</v>
      </c>
      <c r="H69" t="n">
        <f>IF(4&lt;=Paramètres!$B$9,MAX(0,IFERROR(N(IF(ISNUMBER(Charges!I69),MAX(0,Charges!I69),IFERROR(VLOOKUP(Charges!I69,Paramètres!$A$15:$B$18,2,FALSE),0))),0)),0)</f>
        <v>0</v>
      </c>
      <c r="I69" t="n">
        <f>IF(5&lt;=Paramètres!$B$9,MAX(0,IFERROR(N(IF(ISNUMBER(Charges!J69),MAX(0,Charges!J69),IFERROR(VLOOKUP(Charges!J69,Paramètres!$A$15:$B$18,2,FALSE),0))),0)),0)</f>
        <v>0</v>
      </c>
      <c r="J69" t="n">
        <f>IF(6&lt;=Paramètres!$B$9,MAX(0,IFERROR(N(IF(ISNUMBER(Charges!K69),MAX(0,Charges!K69),IFERROR(VLOOKUP(Charges!K69,Paramètres!$A$15:$B$18,2,FALSE),0))),0)),0)</f>
        <v>0</v>
      </c>
      <c r="K69" t="n">
        <f>IF(7&lt;=Paramètres!$B$9,MAX(0,IFERROR(N(IF(ISNUMBER(Charges!L69),MAX(0,Charges!L69),IFERROR(VLOOKUP(Charges!L69,Paramètres!$A$15:$B$18,2,FALSE),0))),0)),0)</f>
        <v>0</v>
      </c>
      <c r="L69" t="n">
        <f>IF(8&lt;=Paramètres!$B$9,MAX(0,IFERROR(N(IF(ISNUMBER(Charges!M69),MAX(0,Charges!M69),IFERROR(VLOOKUP(Charges!M69,Paramètres!$A$15:$B$18,2,FALSE),0))),0)),0)</f>
        <v>0</v>
      </c>
      <c r="M69" t="n">
        <f>IF(9&lt;=Paramètres!$B$9,MAX(0,IFERROR(N(IF(ISNUMBER(Charges!N69),MAX(0,Charges!N69),IFERROR(VLOOKUP(Charges!N69,Paramètres!$A$15:$B$18,2,FALSE),0))),0)),0)</f>
        <v>0</v>
      </c>
      <c r="N69" t="n">
        <f>IF(10&lt;=Paramètres!$B$9,MAX(0,IFERROR(N(IF(ISNUMBER(Charges!O69),MAX(0,Charges!O69),IFERROR(VLOOKUP(Charges!O69,Paramètres!$A$15:$B$18,2,FALSE),0))),0)),0)</f>
        <v>0</v>
      </c>
      <c r="O69" t="n">
        <f>IF(11&lt;=Paramètres!$B$9,MAX(0,IFERROR(N(IF(ISNUMBER(Charges!P69),MAX(0,Charges!P69),IFERROR(VLOOKUP(Charges!P69,Paramètres!$A$15:$B$18,2,FALSE),0))),0)),0)</f>
        <v>0</v>
      </c>
      <c r="P69" t="n">
        <f>IF(12&lt;=Paramètres!$B$9,MAX(0,IFERROR(N(IF(ISNUMBER(Charges!Q69),MAX(0,Charges!Q69),IFERROR(VLOOKUP(Charges!Q69,Paramètres!$A$15:$B$18,2,FALSE),0))),0)),0)</f>
        <v>0</v>
      </c>
      <c r="Q69" t="n">
        <f>IF(13&lt;=Paramètres!$B$9,MAX(0,IFERROR(N(IF(ISNUMBER(Charges!R69),MAX(0,Charges!R69),IFERROR(VLOOKUP(Charges!R69,Paramètres!$A$15:$B$18,2,FALSE),0))),0)),0)</f>
        <v>0</v>
      </c>
      <c r="R69" t="n">
        <f>SUM(E69:Q69)</f>
        <v>0</v>
      </c>
      <c r="S69" t="n">
        <f>IF(IFERROR(VLOOKUP(A69,'Projets'!$A$8:$Z$67,7,FALSE),"")="Engager",1,0)</f>
        <v>0</v>
      </c>
      <c r="T69" t="n">
        <f>IF(OR(Charges!F69="",AND(ISNUMBER(Charges!F69),Charges!F69&gt;=0),Charges!F69="S",Charges!F69="M",Charges!F69="L",Charges!F69="XL"),0,1)+IF(OR(Charges!G69="",AND(ISNUMBER(Charges!G69),Charges!G69&gt;=0),Charges!G69="S",Charges!G69="M",Charges!G69="L",Charges!G69="XL"),0,1)+IF(OR(Charges!H69="",AND(ISNUMBER(Charges!H69),Charges!H69&gt;=0),Charges!H69="S",Charges!H69="M",Charges!H69="L",Charges!H69="XL"),0,1)+IF(OR(Charges!I69="",AND(ISNUMBER(Charges!I69),Charges!I69&gt;=0),Charges!I69="S",Charges!I69="M",Charges!I69="L",Charges!I69="XL"),0,1)+IF(OR(Charges!J69="",AND(ISNUMBER(Charges!J69),Charges!J69&gt;=0),Charges!J69="S",Charges!J69="M",Charges!J69="L",Charges!J69="XL"),0,1)+IF(OR(Charges!K69="",AND(ISNUMBER(Charges!K69),Charges!K69&gt;=0),Charges!K69="S",Charges!K69="M",Charges!K69="L",Charges!K69="XL"),0,1)+IF(OR(Charges!L69="",AND(ISNUMBER(Charges!L69),Charges!L69&gt;=0),Charges!L69="S",Charges!L69="M",Charges!L69="L",Charges!L69="XL"),0,1)+IF(OR(Charges!M69="",AND(ISNUMBER(Charges!M69),Charges!M69&gt;=0),Charges!M69="S",Charges!M69="M",Charges!M69="L",Charges!M69="XL"),0,1)+IF(OR(Charges!N69="",AND(ISNUMBER(Charges!N69),Charges!N69&gt;=0),Charges!N69="S",Charges!N69="M",Charges!N69="L",Charges!N69="XL"),0,1)+IF(OR(Charges!O69="",AND(ISNUMBER(Charges!O69),Charges!O69&gt;=0),Charges!O69="S",Charges!O69="M",Charges!O69="L",Charges!O69="XL"),0,1)+IF(OR(Charges!P69="",AND(ISNUMBER(Charges!P69),Charges!P69&gt;=0),Charges!P69="S",Charges!P69="M",Charges!P69="L",Charges!P69="XL"),0,1)+IF(OR(Charges!Q69="",AND(ISNUMBER(Charges!Q69),Charges!Q69&gt;=0),Charges!Q69="S",Charges!Q69="M",Charges!Q69="L",Charges!Q69="XL"),0,1)+IF(OR(Charges!R69="",AND(ISNUMBER(Charges!R69),Charges!R69&gt;=0),Charges!R69="S",Charges!R69="M",Charges!R69="L",Charges!R69="XL"),0,1)</f>
        <v>0</v>
      </c>
      <c r="U69" t="n">
        <f>IF(AND(1&gt;Paramètres!$B$9,Charges!F69&lt;&gt;"",Charges!F69&lt;&gt;0),1,0)+IF(AND(2&gt;Paramètres!$B$9,Charges!G69&lt;&gt;"",Charges!G69&lt;&gt;0),1,0)+IF(AND(3&gt;Paramètres!$B$9,Charges!H69&lt;&gt;"",Charges!H69&lt;&gt;0),1,0)+IF(AND(4&gt;Paramètres!$B$9,Charges!I69&lt;&gt;"",Charges!I69&lt;&gt;0),1,0)+IF(AND(5&gt;Paramètres!$B$9,Charges!J69&lt;&gt;"",Charges!J69&lt;&gt;0),1,0)+IF(AND(6&gt;Paramètres!$B$9,Charges!K69&lt;&gt;"",Charges!K69&lt;&gt;0),1,0)+IF(AND(7&gt;Paramètres!$B$9,Charges!L69&lt;&gt;"",Charges!L69&lt;&gt;0),1,0)+IF(AND(8&gt;Paramètres!$B$9,Charges!M69&lt;&gt;"",Charges!M69&lt;&gt;0),1,0)+IF(AND(9&gt;Paramètres!$B$9,Charges!N69&lt;&gt;"",Charges!N69&lt;&gt;0),1,0)+IF(AND(10&gt;Paramètres!$B$9,Charges!O69&lt;&gt;"",Charges!O69&lt;&gt;0),1,0)+IF(AND(11&gt;Paramètres!$B$9,Charges!P69&lt;&gt;"",Charges!P69&lt;&gt;0),1,0)+IF(AND(12&gt;Paramètres!$B$9,Charges!Q69&lt;&gt;"",Charges!Q69&lt;&gt;0),1,0)+IF(AND(13&gt;Paramètres!$B$9,Charges!R69&lt;&gt;"",Charges!R69&lt;&gt;0),1,0)</f>
        <v>0</v>
      </c>
      <c r="V69" t="n">
        <f>IF(IFERROR(VLOOKUP(A69,'Projets'!$A$8:$Z$67,5,FALSE),"")="Engager",1,0)</f>
        <v>0</v>
      </c>
      <c r="W69" t="n">
        <f>IF(IFERROR(VLOOKUP(A69,'Projets'!$A$8:$Z$67,6,FALSE),"")="Engager",1,0)</f>
        <v>0</v>
      </c>
      <c r="X69" t="n">
        <f>E69*S69</f>
        <v>0</v>
      </c>
      <c r="Y69" t="n">
        <f>F69*S69</f>
        <v>0</v>
      </c>
      <c r="Z69" t="n">
        <f>G69*S69</f>
        <v>0</v>
      </c>
      <c r="AA69" t="n">
        <f>H69*S69</f>
        <v>0</v>
      </c>
      <c r="AB69" t="n">
        <f>I69*S69</f>
        <v>0</v>
      </c>
      <c r="AC69" t="n">
        <f>J69*S69</f>
        <v>0</v>
      </c>
      <c r="AD69" t="n">
        <f>K69*S69</f>
        <v>0</v>
      </c>
      <c r="AE69" t="n">
        <f>L69*S69</f>
        <v>0</v>
      </c>
      <c r="AF69" t="n">
        <f>M69*S69</f>
        <v>0</v>
      </c>
      <c r="AG69" t="n">
        <f>N69*S69</f>
        <v>0</v>
      </c>
      <c r="AH69" t="n">
        <f>O69*S69</f>
        <v>0</v>
      </c>
      <c r="AI69" t="n">
        <f>P69*S69</f>
        <v>0</v>
      </c>
      <c r="AJ69" t="n">
        <f>Q69*S69</f>
        <v>0</v>
      </c>
      <c r="AK69" t="n">
        <f>E69*V69</f>
        <v>0</v>
      </c>
      <c r="AL69" t="n">
        <f>F69*V69</f>
        <v>0</v>
      </c>
      <c r="AM69" t="n">
        <f>G69*V69</f>
        <v>0</v>
      </c>
      <c r="AN69" t="n">
        <f>H69*V69</f>
        <v>0</v>
      </c>
      <c r="AO69" t="n">
        <f>I69*V69</f>
        <v>0</v>
      </c>
      <c r="AP69" t="n">
        <f>J69*V69</f>
        <v>0</v>
      </c>
      <c r="AQ69" t="n">
        <f>K69*V69</f>
        <v>0</v>
      </c>
      <c r="AR69" t="n">
        <f>L69*V69</f>
        <v>0</v>
      </c>
      <c r="AS69" t="n">
        <f>M69*V69</f>
        <v>0</v>
      </c>
      <c r="AT69" t="n">
        <f>N69*V69</f>
        <v>0</v>
      </c>
      <c r="AU69" t="n">
        <f>O69*V69</f>
        <v>0</v>
      </c>
      <c r="AV69" t="n">
        <f>P69*V69</f>
        <v>0</v>
      </c>
      <c r="AW69" t="n">
        <f>Q69*V69</f>
        <v>0</v>
      </c>
      <c r="AX69" t="n">
        <f>E69*W69</f>
        <v>0</v>
      </c>
      <c r="AY69" t="n">
        <f>F69*W69</f>
        <v>0</v>
      </c>
      <c r="AZ69" t="n">
        <f>G69*W69</f>
        <v>0</v>
      </c>
      <c r="BA69" t="n">
        <f>H69*W69</f>
        <v>0</v>
      </c>
      <c r="BB69" t="n">
        <f>I69*W69</f>
        <v>0</v>
      </c>
      <c r="BC69" t="n">
        <f>J69*W69</f>
        <v>0</v>
      </c>
      <c r="BD69" t="n">
        <f>K69*W69</f>
        <v>0</v>
      </c>
      <c r="BE69" t="n">
        <f>L69*W69</f>
        <v>0</v>
      </c>
      <c r="BF69" t="n">
        <f>M69*W69</f>
        <v>0</v>
      </c>
      <c r="BG69" t="n">
        <f>N69*W69</f>
        <v>0</v>
      </c>
      <c r="BH69" t="n">
        <f>O69*W69</f>
        <v>0</v>
      </c>
      <c r="BI69" t="n">
        <f>P69*W69</f>
        <v>0</v>
      </c>
      <c r="BJ69" t="n">
        <f>Q69*W69</f>
        <v>0</v>
      </c>
    </row>
    <row r="70">
      <c r="A70" t="n">
        <f>Charges!A70</f>
        <v>0</v>
      </c>
      <c r="B70" t="n">
        <f>Charges!C70</f>
        <v>0</v>
      </c>
      <c r="C70" t="str">
        <f>Charges!D70</f>
        <v/>
      </c>
      <c r="E70" t="n">
        <f>IF(1&lt;=Paramètres!$B$9,MAX(0,IFERROR(N(IF(ISNUMBER(Charges!F70),MAX(0,Charges!F70),IFERROR(VLOOKUP(Charges!F70,Paramètres!$A$15:$B$18,2,FALSE),0))),0)),0)</f>
        <v>0</v>
      </c>
      <c r="F70" t="n">
        <f>IF(2&lt;=Paramètres!$B$9,MAX(0,IFERROR(N(IF(ISNUMBER(Charges!G70),MAX(0,Charges!G70),IFERROR(VLOOKUP(Charges!G70,Paramètres!$A$15:$B$18,2,FALSE),0))),0)),0)</f>
        <v>0</v>
      </c>
      <c r="G70" t="n">
        <f>IF(3&lt;=Paramètres!$B$9,MAX(0,IFERROR(N(IF(ISNUMBER(Charges!H70),MAX(0,Charges!H70),IFERROR(VLOOKUP(Charges!H70,Paramètres!$A$15:$B$18,2,FALSE),0))),0)),0)</f>
        <v>0</v>
      </c>
      <c r="H70" t="n">
        <f>IF(4&lt;=Paramètres!$B$9,MAX(0,IFERROR(N(IF(ISNUMBER(Charges!I70),MAX(0,Charges!I70),IFERROR(VLOOKUP(Charges!I70,Paramètres!$A$15:$B$18,2,FALSE),0))),0)),0)</f>
        <v>0</v>
      </c>
      <c r="I70" t="n">
        <f>IF(5&lt;=Paramètres!$B$9,MAX(0,IFERROR(N(IF(ISNUMBER(Charges!J70),MAX(0,Charges!J70),IFERROR(VLOOKUP(Charges!J70,Paramètres!$A$15:$B$18,2,FALSE),0))),0)),0)</f>
        <v>0</v>
      </c>
      <c r="J70" t="n">
        <f>IF(6&lt;=Paramètres!$B$9,MAX(0,IFERROR(N(IF(ISNUMBER(Charges!K70),MAX(0,Charges!K70),IFERROR(VLOOKUP(Charges!K70,Paramètres!$A$15:$B$18,2,FALSE),0))),0)),0)</f>
        <v>0</v>
      </c>
      <c r="K70" t="n">
        <f>IF(7&lt;=Paramètres!$B$9,MAX(0,IFERROR(N(IF(ISNUMBER(Charges!L70),MAX(0,Charges!L70),IFERROR(VLOOKUP(Charges!L70,Paramètres!$A$15:$B$18,2,FALSE),0))),0)),0)</f>
        <v>0</v>
      </c>
      <c r="L70" t="n">
        <f>IF(8&lt;=Paramètres!$B$9,MAX(0,IFERROR(N(IF(ISNUMBER(Charges!M70),MAX(0,Charges!M70),IFERROR(VLOOKUP(Charges!M70,Paramètres!$A$15:$B$18,2,FALSE),0))),0)),0)</f>
        <v>0</v>
      </c>
      <c r="M70" t="n">
        <f>IF(9&lt;=Paramètres!$B$9,MAX(0,IFERROR(N(IF(ISNUMBER(Charges!N70),MAX(0,Charges!N70),IFERROR(VLOOKUP(Charges!N70,Paramètres!$A$15:$B$18,2,FALSE),0))),0)),0)</f>
        <v>0</v>
      </c>
      <c r="N70" t="n">
        <f>IF(10&lt;=Paramètres!$B$9,MAX(0,IFERROR(N(IF(ISNUMBER(Charges!O70),MAX(0,Charges!O70),IFERROR(VLOOKUP(Charges!O70,Paramètres!$A$15:$B$18,2,FALSE),0))),0)),0)</f>
        <v>0</v>
      </c>
      <c r="O70" t="n">
        <f>IF(11&lt;=Paramètres!$B$9,MAX(0,IFERROR(N(IF(ISNUMBER(Charges!P70),MAX(0,Charges!P70),IFERROR(VLOOKUP(Charges!P70,Paramètres!$A$15:$B$18,2,FALSE),0))),0)),0)</f>
        <v>0</v>
      </c>
      <c r="P70" t="n">
        <f>IF(12&lt;=Paramètres!$B$9,MAX(0,IFERROR(N(IF(ISNUMBER(Charges!Q70),MAX(0,Charges!Q70),IFERROR(VLOOKUP(Charges!Q70,Paramètres!$A$15:$B$18,2,FALSE),0))),0)),0)</f>
        <v>0</v>
      </c>
      <c r="Q70" t="n">
        <f>IF(13&lt;=Paramètres!$B$9,MAX(0,IFERROR(N(IF(ISNUMBER(Charges!R70),MAX(0,Charges!R70),IFERROR(VLOOKUP(Charges!R70,Paramètres!$A$15:$B$18,2,FALSE),0))),0)),0)</f>
        <v>0</v>
      </c>
      <c r="R70" t="n">
        <f>SUM(E70:Q70)</f>
        <v>0</v>
      </c>
      <c r="S70" t="n">
        <f>IF(IFERROR(VLOOKUP(A70,'Projets'!$A$8:$Z$67,7,FALSE),"")="Engager",1,0)</f>
        <v>0</v>
      </c>
      <c r="T70" t="n">
        <f>IF(OR(Charges!F70="",AND(ISNUMBER(Charges!F70),Charges!F70&gt;=0),Charges!F70="S",Charges!F70="M",Charges!F70="L",Charges!F70="XL"),0,1)+IF(OR(Charges!G70="",AND(ISNUMBER(Charges!G70),Charges!G70&gt;=0),Charges!G70="S",Charges!G70="M",Charges!G70="L",Charges!G70="XL"),0,1)+IF(OR(Charges!H70="",AND(ISNUMBER(Charges!H70),Charges!H70&gt;=0),Charges!H70="S",Charges!H70="M",Charges!H70="L",Charges!H70="XL"),0,1)+IF(OR(Charges!I70="",AND(ISNUMBER(Charges!I70),Charges!I70&gt;=0),Charges!I70="S",Charges!I70="M",Charges!I70="L",Charges!I70="XL"),0,1)+IF(OR(Charges!J70="",AND(ISNUMBER(Charges!J70),Charges!J70&gt;=0),Charges!J70="S",Charges!J70="M",Charges!J70="L",Charges!J70="XL"),0,1)+IF(OR(Charges!K70="",AND(ISNUMBER(Charges!K70),Charges!K70&gt;=0),Charges!K70="S",Charges!K70="M",Charges!K70="L",Charges!K70="XL"),0,1)+IF(OR(Charges!L70="",AND(ISNUMBER(Charges!L70),Charges!L70&gt;=0),Charges!L70="S",Charges!L70="M",Charges!L70="L",Charges!L70="XL"),0,1)+IF(OR(Charges!M70="",AND(ISNUMBER(Charges!M70),Charges!M70&gt;=0),Charges!M70="S",Charges!M70="M",Charges!M70="L",Charges!M70="XL"),0,1)+IF(OR(Charges!N70="",AND(ISNUMBER(Charges!N70),Charges!N70&gt;=0),Charges!N70="S",Charges!N70="M",Charges!N70="L",Charges!N70="XL"),0,1)+IF(OR(Charges!O70="",AND(ISNUMBER(Charges!O70),Charges!O70&gt;=0),Charges!O70="S",Charges!O70="M",Charges!O70="L",Charges!O70="XL"),0,1)+IF(OR(Charges!P70="",AND(ISNUMBER(Charges!P70),Charges!P70&gt;=0),Charges!P70="S",Charges!P70="M",Charges!P70="L",Charges!P70="XL"),0,1)+IF(OR(Charges!Q70="",AND(ISNUMBER(Charges!Q70),Charges!Q70&gt;=0),Charges!Q70="S",Charges!Q70="M",Charges!Q70="L",Charges!Q70="XL"),0,1)+IF(OR(Charges!R70="",AND(ISNUMBER(Charges!R70),Charges!R70&gt;=0),Charges!R70="S",Charges!R70="M",Charges!R70="L",Charges!R70="XL"),0,1)</f>
        <v>0</v>
      </c>
      <c r="U70" t="n">
        <f>IF(AND(1&gt;Paramètres!$B$9,Charges!F70&lt;&gt;"",Charges!F70&lt;&gt;0),1,0)+IF(AND(2&gt;Paramètres!$B$9,Charges!G70&lt;&gt;"",Charges!G70&lt;&gt;0),1,0)+IF(AND(3&gt;Paramètres!$B$9,Charges!H70&lt;&gt;"",Charges!H70&lt;&gt;0),1,0)+IF(AND(4&gt;Paramètres!$B$9,Charges!I70&lt;&gt;"",Charges!I70&lt;&gt;0),1,0)+IF(AND(5&gt;Paramètres!$B$9,Charges!J70&lt;&gt;"",Charges!J70&lt;&gt;0),1,0)+IF(AND(6&gt;Paramètres!$B$9,Charges!K70&lt;&gt;"",Charges!K70&lt;&gt;0),1,0)+IF(AND(7&gt;Paramètres!$B$9,Charges!L70&lt;&gt;"",Charges!L70&lt;&gt;0),1,0)+IF(AND(8&gt;Paramètres!$B$9,Charges!M70&lt;&gt;"",Charges!M70&lt;&gt;0),1,0)+IF(AND(9&gt;Paramètres!$B$9,Charges!N70&lt;&gt;"",Charges!N70&lt;&gt;0),1,0)+IF(AND(10&gt;Paramètres!$B$9,Charges!O70&lt;&gt;"",Charges!O70&lt;&gt;0),1,0)+IF(AND(11&gt;Paramètres!$B$9,Charges!P70&lt;&gt;"",Charges!P70&lt;&gt;0),1,0)+IF(AND(12&gt;Paramètres!$B$9,Charges!Q70&lt;&gt;"",Charges!Q70&lt;&gt;0),1,0)+IF(AND(13&gt;Paramètres!$B$9,Charges!R70&lt;&gt;"",Charges!R70&lt;&gt;0),1,0)</f>
        <v>0</v>
      </c>
      <c r="V70" t="n">
        <f>IF(IFERROR(VLOOKUP(A70,'Projets'!$A$8:$Z$67,5,FALSE),"")="Engager",1,0)</f>
        <v>0</v>
      </c>
      <c r="W70" t="n">
        <f>IF(IFERROR(VLOOKUP(A70,'Projets'!$A$8:$Z$67,6,FALSE),"")="Engager",1,0)</f>
        <v>0</v>
      </c>
      <c r="X70" t="n">
        <f>E70*S70</f>
        <v>0</v>
      </c>
      <c r="Y70" t="n">
        <f>F70*S70</f>
        <v>0</v>
      </c>
      <c r="Z70" t="n">
        <f>G70*S70</f>
        <v>0</v>
      </c>
      <c r="AA70" t="n">
        <f>H70*S70</f>
        <v>0</v>
      </c>
      <c r="AB70" t="n">
        <f>I70*S70</f>
        <v>0</v>
      </c>
      <c r="AC70" t="n">
        <f>J70*S70</f>
        <v>0</v>
      </c>
      <c r="AD70" t="n">
        <f>K70*S70</f>
        <v>0</v>
      </c>
      <c r="AE70" t="n">
        <f>L70*S70</f>
        <v>0</v>
      </c>
      <c r="AF70" t="n">
        <f>M70*S70</f>
        <v>0</v>
      </c>
      <c r="AG70" t="n">
        <f>N70*S70</f>
        <v>0</v>
      </c>
      <c r="AH70" t="n">
        <f>O70*S70</f>
        <v>0</v>
      </c>
      <c r="AI70" t="n">
        <f>P70*S70</f>
        <v>0</v>
      </c>
      <c r="AJ70" t="n">
        <f>Q70*S70</f>
        <v>0</v>
      </c>
      <c r="AK70" t="n">
        <f>E70*V70</f>
        <v>0</v>
      </c>
      <c r="AL70" t="n">
        <f>F70*V70</f>
        <v>0</v>
      </c>
      <c r="AM70" t="n">
        <f>G70*V70</f>
        <v>0</v>
      </c>
      <c r="AN70" t="n">
        <f>H70*V70</f>
        <v>0</v>
      </c>
      <c r="AO70" t="n">
        <f>I70*V70</f>
        <v>0</v>
      </c>
      <c r="AP70" t="n">
        <f>J70*V70</f>
        <v>0</v>
      </c>
      <c r="AQ70" t="n">
        <f>K70*V70</f>
        <v>0</v>
      </c>
      <c r="AR70" t="n">
        <f>L70*V70</f>
        <v>0</v>
      </c>
      <c r="AS70" t="n">
        <f>M70*V70</f>
        <v>0</v>
      </c>
      <c r="AT70" t="n">
        <f>N70*V70</f>
        <v>0</v>
      </c>
      <c r="AU70" t="n">
        <f>O70*V70</f>
        <v>0</v>
      </c>
      <c r="AV70" t="n">
        <f>P70*V70</f>
        <v>0</v>
      </c>
      <c r="AW70" t="n">
        <f>Q70*V70</f>
        <v>0</v>
      </c>
      <c r="AX70" t="n">
        <f>E70*W70</f>
        <v>0</v>
      </c>
      <c r="AY70" t="n">
        <f>F70*W70</f>
        <v>0</v>
      </c>
      <c r="AZ70" t="n">
        <f>G70*W70</f>
        <v>0</v>
      </c>
      <c r="BA70" t="n">
        <f>H70*W70</f>
        <v>0</v>
      </c>
      <c r="BB70" t="n">
        <f>I70*W70</f>
        <v>0</v>
      </c>
      <c r="BC70" t="n">
        <f>J70*W70</f>
        <v>0</v>
      </c>
      <c r="BD70" t="n">
        <f>K70*W70</f>
        <v>0</v>
      </c>
      <c r="BE70" t="n">
        <f>L70*W70</f>
        <v>0</v>
      </c>
      <c r="BF70" t="n">
        <f>M70*W70</f>
        <v>0</v>
      </c>
      <c r="BG70" t="n">
        <f>N70*W70</f>
        <v>0</v>
      </c>
      <c r="BH70" t="n">
        <f>O70*W70</f>
        <v>0</v>
      </c>
      <c r="BI70" t="n">
        <f>P70*W70</f>
        <v>0</v>
      </c>
      <c r="BJ70" t="n">
        <f>Q70*W70</f>
        <v>0</v>
      </c>
    </row>
    <row r="71">
      <c r="A71" t="n">
        <f>Charges!A71</f>
        <v>0</v>
      </c>
      <c r="B71" t="n">
        <f>Charges!C71</f>
        <v>0</v>
      </c>
      <c r="C71" t="str">
        <f>Charges!D71</f>
        <v/>
      </c>
      <c r="E71" t="n">
        <f>IF(1&lt;=Paramètres!$B$9,MAX(0,IFERROR(N(IF(ISNUMBER(Charges!F71),MAX(0,Charges!F71),IFERROR(VLOOKUP(Charges!F71,Paramètres!$A$15:$B$18,2,FALSE),0))),0)),0)</f>
        <v>0</v>
      </c>
      <c r="F71" t="n">
        <f>IF(2&lt;=Paramètres!$B$9,MAX(0,IFERROR(N(IF(ISNUMBER(Charges!G71),MAX(0,Charges!G71),IFERROR(VLOOKUP(Charges!G71,Paramètres!$A$15:$B$18,2,FALSE),0))),0)),0)</f>
        <v>0</v>
      </c>
      <c r="G71" t="n">
        <f>IF(3&lt;=Paramètres!$B$9,MAX(0,IFERROR(N(IF(ISNUMBER(Charges!H71),MAX(0,Charges!H71),IFERROR(VLOOKUP(Charges!H71,Paramètres!$A$15:$B$18,2,FALSE),0))),0)),0)</f>
        <v>0</v>
      </c>
      <c r="H71" t="n">
        <f>IF(4&lt;=Paramètres!$B$9,MAX(0,IFERROR(N(IF(ISNUMBER(Charges!I71),MAX(0,Charges!I71),IFERROR(VLOOKUP(Charges!I71,Paramètres!$A$15:$B$18,2,FALSE),0))),0)),0)</f>
        <v>0</v>
      </c>
      <c r="I71" t="n">
        <f>IF(5&lt;=Paramètres!$B$9,MAX(0,IFERROR(N(IF(ISNUMBER(Charges!J71),MAX(0,Charges!J71),IFERROR(VLOOKUP(Charges!J71,Paramètres!$A$15:$B$18,2,FALSE),0))),0)),0)</f>
        <v>0</v>
      </c>
      <c r="J71" t="n">
        <f>IF(6&lt;=Paramètres!$B$9,MAX(0,IFERROR(N(IF(ISNUMBER(Charges!K71),MAX(0,Charges!K71),IFERROR(VLOOKUP(Charges!K71,Paramètres!$A$15:$B$18,2,FALSE),0))),0)),0)</f>
        <v>0</v>
      </c>
      <c r="K71" t="n">
        <f>IF(7&lt;=Paramètres!$B$9,MAX(0,IFERROR(N(IF(ISNUMBER(Charges!L71),MAX(0,Charges!L71),IFERROR(VLOOKUP(Charges!L71,Paramètres!$A$15:$B$18,2,FALSE),0))),0)),0)</f>
        <v>0</v>
      </c>
      <c r="L71" t="n">
        <f>IF(8&lt;=Paramètres!$B$9,MAX(0,IFERROR(N(IF(ISNUMBER(Charges!M71),MAX(0,Charges!M71),IFERROR(VLOOKUP(Charges!M71,Paramètres!$A$15:$B$18,2,FALSE),0))),0)),0)</f>
        <v>0</v>
      </c>
      <c r="M71" t="n">
        <f>IF(9&lt;=Paramètres!$B$9,MAX(0,IFERROR(N(IF(ISNUMBER(Charges!N71),MAX(0,Charges!N71),IFERROR(VLOOKUP(Charges!N71,Paramètres!$A$15:$B$18,2,FALSE),0))),0)),0)</f>
        <v>0</v>
      </c>
      <c r="N71" t="n">
        <f>IF(10&lt;=Paramètres!$B$9,MAX(0,IFERROR(N(IF(ISNUMBER(Charges!O71),MAX(0,Charges!O71),IFERROR(VLOOKUP(Charges!O71,Paramètres!$A$15:$B$18,2,FALSE),0))),0)),0)</f>
        <v>0</v>
      </c>
      <c r="O71" t="n">
        <f>IF(11&lt;=Paramètres!$B$9,MAX(0,IFERROR(N(IF(ISNUMBER(Charges!P71),MAX(0,Charges!P71),IFERROR(VLOOKUP(Charges!P71,Paramètres!$A$15:$B$18,2,FALSE),0))),0)),0)</f>
        <v>0</v>
      </c>
      <c r="P71" t="n">
        <f>IF(12&lt;=Paramètres!$B$9,MAX(0,IFERROR(N(IF(ISNUMBER(Charges!Q71),MAX(0,Charges!Q71),IFERROR(VLOOKUP(Charges!Q71,Paramètres!$A$15:$B$18,2,FALSE),0))),0)),0)</f>
        <v>0</v>
      </c>
      <c r="Q71" t="n">
        <f>IF(13&lt;=Paramètres!$B$9,MAX(0,IFERROR(N(IF(ISNUMBER(Charges!R71),MAX(0,Charges!R71),IFERROR(VLOOKUP(Charges!R71,Paramètres!$A$15:$B$18,2,FALSE),0))),0)),0)</f>
        <v>0</v>
      </c>
      <c r="R71" t="n">
        <f>SUM(E71:Q71)</f>
        <v>0</v>
      </c>
      <c r="S71" t="n">
        <f>IF(IFERROR(VLOOKUP(A71,'Projets'!$A$8:$Z$67,7,FALSE),"")="Engager",1,0)</f>
        <v>0</v>
      </c>
      <c r="T71" t="n">
        <f>IF(OR(Charges!F71="",AND(ISNUMBER(Charges!F71),Charges!F71&gt;=0),Charges!F71="S",Charges!F71="M",Charges!F71="L",Charges!F71="XL"),0,1)+IF(OR(Charges!G71="",AND(ISNUMBER(Charges!G71),Charges!G71&gt;=0),Charges!G71="S",Charges!G71="M",Charges!G71="L",Charges!G71="XL"),0,1)+IF(OR(Charges!H71="",AND(ISNUMBER(Charges!H71),Charges!H71&gt;=0),Charges!H71="S",Charges!H71="M",Charges!H71="L",Charges!H71="XL"),0,1)+IF(OR(Charges!I71="",AND(ISNUMBER(Charges!I71),Charges!I71&gt;=0),Charges!I71="S",Charges!I71="M",Charges!I71="L",Charges!I71="XL"),0,1)+IF(OR(Charges!J71="",AND(ISNUMBER(Charges!J71),Charges!J71&gt;=0),Charges!J71="S",Charges!J71="M",Charges!J71="L",Charges!J71="XL"),0,1)+IF(OR(Charges!K71="",AND(ISNUMBER(Charges!K71),Charges!K71&gt;=0),Charges!K71="S",Charges!K71="M",Charges!K71="L",Charges!K71="XL"),0,1)+IF(OR(Charges!L71="",AND(ISNUMBER(Charges!L71),Charges!L71&gt;=0),Charges!L71="S",Charges!L71="M",Charges!L71="L",Charges!L71="XL"),0,1)+IF(OR(Charges!M71="",AND(ISNUMBER(Charges!M71),Charges!M71&gt;=0),Charges!M71="S",Charges!M71="M",Charges!M71="L",Charges!M71="XL"),0,1)+IF(OR(Charges!N71="",AND(ISNUMBER(Charges!N71),Charges!N71&gt;=0),Charges!N71="S",Charges!N71="M",Charges!N71="L",Charges!N71="XL"),0,1)+IF(OR(Charges!O71="",AND(ISNUMBER(Charges!O71),Charges!O71&gt;=0),Charges!O71="S",Charges!O71="M",Charges!O71="L",Charges!O71="XL"),0,1)+IF(OR(Charges!P71="",AND(ISNUMBER(Charges!P71),Charges!P71&gt;=0),Charges!P71="S",Charges!P71="M",Charges!P71="L",Charges!P71="XL"),0,1)+IF(OR(Charges!Q71="",AND(ISNUMBER(Charges!Q71),Charges!Q71&gt;=0),Charges!Q71="S",Charges!Q71="M",Charges!Q71="L",Charges!Q71="XL"),0,1)+IF(OR(Charges!R71="",AND(ISNUMBER(Charges!R71),Charges!R71&gt;=0),Charges!R71="S",Charges!R71="M",Charges!R71="L",Charges!R71="XL"),0,1)</f>
        <v>0</v>
      </c>
      <c r="U71" t="n">
        <f>IF(AND(1&gt;Paramètres!$B$9,Charges!F71&lt;&gt;"",Charges!F71&lt;&gt;0),1,0)+IF(AND(2&gt;Paramètres!$B$9,Charges!G71&lt;&gt;"",Charges!G71&lt;&gt;0),1,0)+IF(AND(3&gt;Paramètres!$B$9,Charges!H71&lt;&gt;"",Charges!H71&lt;&gt;0),1,0)+IF(AND(4&gt;Paramètres!$B$9,Charges!I71&lt;&gt;"",Charges!I71&lt;&gt;0),1,0)+IF(AND(5&gt;Paramètres!$B$9,Charges!J71&lt;&gt;"",Charges!J71&lt;&gt;0),1,0)+IF(AND(6&gt;Paramètres!$B$9,Charges!K71&lt;&gt;"",Charges!K71&lt;&gt;0),1,0)+IF(AND(7&gt;Paramètres!$B$9,Charges!L71&lt;&gt;"",Charges!L71&lt;&gt;0),1,0)+IF(AND(8&gt;Paramètres!$B$9,Charges!M71&lt;&gt;"",Charges!M71&lt;&gt;0),1,0)+IF(AND(9&gt;Paramètres!$B$9,Charges!N71&lt;&gt;"",Charges!N71&lt;&gt;0),1,0)+IF(AND(10&gt;Paramètres!$B$9,Charges!O71&lt;&gt;"",Charges!O71&lt;&gt;0),1,0)+IF(AND(11&gt;Paramètres!$B$9,Charges!P71&lt;&gt;"",Charges!P71&lt;&gt;0),1,0)+IF(AND(12&gt;Paramètres!$B$9,Charges!Q71&lt;&gt;"",Charges!Q71&lt;&gt;0),1,0)+IF(AND(13&gt;Paramètres!$B$9,Charges!R71&lt;&gt;"",Charges!R71&lt;&gt;0),1,0)</f>
        <v>0</v>
      </c>
      <c r="V71" t="n">
        <f>IF(IFERROR(VLOOKUP(A71,'Projets'!$A$8:$Z$67,5,FALSE),"")="Engager",1,0)</f>
        <v>0</v>
      </c>
      <c r="W71" t="n">
        <f>IF(IFERROR(VLOOKUP(A71,'Projets'!$A$8:$Z$67,6,FALSE),"")="Engager",1,0)</f>
        <v>0</v>
      </c>
      <c r="X71" t="n">
        <f>E71*S71</f>
        <v>0</v>
      </c>
      <c r="Y71" t="n">
        <f>F71*S71</f>
        <v>0</v>
      </c>
      <c r="Z71" t="n">
        <f>G71*S71</f>
        <v>0</v>
      </c>
      <c r="AA71" t="n">
        <f>H71*S71</f>
        <v>0</v>
      </c>
      <c r="AB71" t="n">
        <f>I71*S71</f>
        <v>0</v>
      </c>
      <c r="AC71" t="n">
        <f>J71*S71</f>
        <v>0</v>
      </c>
      <c r="AD71" t="n">
        <f>K71*S71</f>
        <v>0</v>
      </c>
      <c r="AE71" t="n">
        <f>L71*S71</f>
        <v>0</v>
      </c>
      <c r="AF71" t="n">
        <f>M71*S71</f>
        <v>0</v>
      </c>
      <c r="AG71" t="n">
        <f>N71*S71</f>
        <v>0</v>
      </c>
      <c r="AH71" t="n">
        <f>O71*S71</f>
        <v>0</v>
      </c>
      <c r="AI71" t="n">
        <f>P71*S71</f>
        <v>0</v>
      </c>
      <c r="AJ71" t="n">
        <f>Q71*S71</f>
        <v>0</v>
      </c>
      <c r="AK71" t="n">
        <f>E71*V71</f>
        <v>0</v>
      </c>
      <c r="AL71" t="n">
        <f>F71*V71</f>
        <v>0</v>
      </c>
      <c r="AM71" t="n">
        <f>G71*V71</f>
        <v>0</v>
      </c>
      <c r="AN71" t="n">
        <f>H71*V71</f>
        <v>0</v>
      </c>
      <c r="AO71" t="n">
        <f>I71*V71</f>
        <v>0</v>
      </c>
      <c r="AP71" t="n">
        <f>J71*V71</f>
        <v>0</v>
      </c>
      <c r="AQ71" t="n">
        <f>K71*V71</f>
        <v>0</v>
      </c>
      <c r="AR71" t="n">
        <f>L71*V71</f>
        <v>0</v>
      </c>
      <c r="AS71" t="n">
        <f>M71*V71</f>
        <v>0</v>
      </c>
      <c r="AT71" t="n">
        <f>N71*V71</f>
        <v>0</v>
      </c>
      <c r="AU71" t="n">
        <f>O71*V71</f>
        <v>0</v>
      </c>
      <c r="AV71" t="n">
        <f>P71*V71</f>
        <v>0</v>
      </c>
      <c r="AW71" t="n">
        <f>Q71*V71</f>
        <v>0</v>
      </c>
      <c r="AX71" t="n">
        <f>E71*W71</f>
        <v>0</v>
      </c>
      <c r="AY71" t="n">
        <f>F71*W71</f>
        <v>0</v>
      </c>
      <c r="AZ71" t="n">
        <f>G71*W71</f>
        <v>0</v>
      </c>
      <c r="BA71" t="n">
        <f>H71*W71</f>
        <v>0</v>
      </c>
      <c r="BB71" t="n">
        <f>I71*W71</f>
        <v>0</v>
      </c>
      <c r="BC71" t="n">
        <f>J71*W71</f>
        <v>0</v>
      </c>
      <c r="BD71" t="n">
        <f>K71*W71</f>
        <v>0</v>
      </c>
      <c r="BE71" t="n">
        <f>L71*W71</f>
        <v>0</v>
      </c>
      <c r="BF71" t="n">
        <f>M71*W71</f>
        <v>0</v>
      </c>
      <c r="BG71" t="n">
        <f>N71*W71</f>
        <v>0</v>
      </c>
      <c r="BH71" t="n">
        <f>O71*W71</f>
        <v>0</v>
      </c>
      <c r="BI71" t="n">
        <f>P71*W71</f>
        <v>0</v>
      </c>
      <c r="BJ71" t="n">
        <f>Q71*W71</f>
        <v>0</v>
      </c>
    </row>
    <row r="72">
      <c r="A72" t="n">
        <f>Charges!A72</f>
        <v>0</v>
      </c>
      <c r="B72" t="n">
        <f>Charges!C72</f>
        <v>0</v>
      </c>
      <c r="C72" t="str">
        <f>Charges!D72</f>
        <v/>
      </c>
      <c r="E72" t="n">
        <f>IF(1&lt;=Paramètres!$B$9,MAX(0,IFERROR(N(IF(ISNUMBER(Charges!F72),MAX(0,Charges!F72),IFERROR(VLOOKUP(Charges!F72,Paramètres!$A$15:$B$18,2,FALSE),0))),0)),0)</f>
        <v>0</v>
      </c>
      <c r="F72" t="n">
        <f>IF(2&lt;=Paramètres!$B$9,MAX(0,IFERROR(N(IF(ISNUMBER(Charges!G72),MAX(0,Charges!G72),IFERROR(VLOOKUP(Charges!G72,Paramètres!$A$15:$B$18,2,FALSE),0))),0)),0)</f>
        <v>0</v>
      </c>
      <c r="G72" t="n">
        <f>IF(3&lt;=Paramètres!$B$9,MAX(0,IFERROR(N(IF(ISNUMBER(Charges!H72),MAX(0,Charges!H72),IFERROR(VLOOKUP(Charges!H72,Paramètres!$A$15:$B$18,2,FALSE),0))),0)),0)</f>
        <v>0</v>
      </c>
      <c r="H72" t="n">
        <f>IF(4&lt;=Paramètres!$B$9,MAX(0,IFERROR(N(IF(ISNUMBER(Charges!I72),MAX(0,Charges!I72),IFERROR(VLOOKUP(Charges!I72,Paramètres!$A$15:$B$18,2,FALSE),0))),0)),0)</f>
        <v>0</v>
      </c>
      <c r="I72" t="n">
        <f>IF(5&lt;=Paramètres!$B$9,MAX(0,IFERROR(N(IF(ISNUMBER(Charges!J72),MAX(0,Charges!J72),IFERROR(VLOOKUP(Charges!J72,Paramètres!$A$15:$B$18,2,FALSE),0))),0)),0)</f>
        <v>0</v>
      </c>
      <c r="J72" t="n">
        <f>IF(6&lt;=Paramètres!$B$9,MAX(0,IFERROR(N(IF(ISNUMBER(Charges!K72),MAX(0,Charges!K72),IFERROR(VLOOKUP(Charges!K72,Paramètres!$A$15:$B$18,2,FALSE),0))),0)),0)</f>
        <v>0</v>
      </c>
      <c r="K72" t="n">
        <f>IF(7&lt;=Paramètres!$B$9,MAX(0,IFERROR(N(IF(ISNUMBER(Charges!L72),MAX(0,Charges!L72),IFERROR(VLOOKUP(Charges!L72,Paramètres!$A$15:$B$18,2,FALSE),0))),0)),0)</f>
        <v>0</v>
      </c>
      <c r="L72" t="n">
        <f>IF(8&lt;=Paramètres!$B$9,MAX(0,IFERROR(N(IF(ISNUMBER(Charges!M72),MAX(0,Charges!M72),IFERROR(VLOOKUP(Charges!M72,Paramètres!$A$15:$B$18,2,FALSE),0))),0)),0)</f>
        <v>0</v>
      </c>
      <c r="M72" t="n">
        <f>IF(9&lt;=Paramètres!$B$9,MAX(0,IFERROR(N(IF(ISNUMBER(Charges!N72),MAX(0,Charges!N72),IFERROR(VLOOKUP(Charges!N72,Paramètres!$A$15:$B$18,2,FALSE),0))),0)),0)</f>
        <v>0</v>
      </c>
      <c r="N72" t="n">
        <f>IF(10&lt;=Paramètres!$B$9,MAX(0,IFERROR(N(IF(ISNUMBER(Charges!O72),MAX(0,Charges!O72),IFERROR(VLOOKUP(Charges!O72,Paramètres!$A$15:$B$18,2,FALSE),0))),0)),0)</f>
        <v>0</v>
      </c>
      <c r="O72" t="n">
        <f>IF(11&lt;=Paramètres!$B$9,MAX(0,IFERROR(N(IF(ISNUMBER(Charges!P72),MAX(0,Charges!P72),IFERROR(VLOOKUP(Charges!P72,Paramètres!$A$15:$B$18,2,FALSE),0))),0)),0)</f>
        <v>0</v>
      </c>
      <c r="P72" t="n">
        <f>IF(12&lt;=Paramètres!$B$9,MAX(0,IFERROR(N(IF(ISNUMBER(Charges!Q72),MAX(0,Charges!Q72),IFERROR(VLOOKUP(Charges!Q72,Paramètres!$A$15:$B$18,2,FALSE),0))),0)),0)</f>
        <v>0</v>
      </c>
      <c r="Q72" t="n">
        <f>IF(13&lt;=Paramètres!$B$9,MAX(0,IFERROR(N(IF(ISNUMBER(Charges!R72),MAX(0,Charges!R72),IFERROR(VLOOKUP(Charges!R72,Paramètres!$A$15:$B$18,2,FALSE),0))),0)),0)</f>
        <v>0</v>
      </c>
      <c r="R72" t="n">
        <f>SUM(E72:Q72)</f>
        <v>0</v>
      </c>
      <c r="S72" t="n">
        <f>IF(IFERROR(VLOOKUP(A72,'Projets'!$A$8:$Z$67,7,FALSE),"")="Engager",1,0)</f>
        <v>0</v>
      </c>
      <c r="T72" t="n">
        <f>IF(OR(Charges!F72="",AND(ISNUMBER(Charges!F72),Charges!F72&gt;=0),Charges!F72="S",Charges!F72="M",Charges!F72="L",Charges!F72="XL"),0,1)+IF(OR(Charges!G72="",AND(ISNUMBER(Charges!G72),Charges!G72&gt;=0),Charges!G72="S",Charges!G72="M",Charges!G72="L",Charges!G72="XL"),0,1)+IF(OR(Charges!H72="",AND(ISNUMBER(Charges!H72),Charges!H72&gt;=0),Charges!H72="S",Charges!H72="M",Charges!H72="L",Charges!H72="XL"),0,1)+IF(OR(Charges!I72="",AND(ISNUMBER(Charges!I72),Charges!I72&gt;=0),Charges!I72="S",Charges!I72="M",Charges!I72="L",Charges!I72="XL"),0,1)+IF(OR(Charges!J72="",AND(ISNUMBER(Charges!J72),Charges!J72&gt;=0),Charges!J72="S",Charges!J72="M",Charges!J72="L",Charges!J72="XL"),0,1)+IF(OR(Charges!K72="",AND(ISNUMBER(Charges!K72),Charges!K72&gt;=0),Charges!K72="S",Charges!K72="M",Charges!K72="L",Charges!K72="XL"),0,1)+IF(OR(Charges!L72="",AND(ISNUMBER(Charges!L72),Charges!L72&gt;=0),Charges!L72="S",Charges!L72="M",Charges!L72="L",Charges!L72="XL"),0,1)+IF(OR(Charges!M72="",AND(ISNUMBER(Charges!M72),Charges!M72&gt;=0),Charges!M72="S",Charges!M72="M",Charges!M72="L",Charges!M72="XL"),0,1)+IF(OR(Charges!N72="",AND(ISNUMBER(Charges!N72),Charges!N72&gt;=0),Charges!N72="S",Charges!N72="M",Charges!N72="L",Charges!N72="XL"),0,1)+IF(OR(Charges!O72="",AND(ISNUMBER(Charges!O72),Charges!O72&gt;=0),Charges!O72="S",Charges!O72="M",Charges!O72="L",Charges!O72="XL"),0,1)+IF(OR(Charges!P72="",AND(ISNUMBER(Charges!P72),Charges!P72&gt;=0),Charges!P72="S",Charges!P72="M",Charges!P72="L",Charges!P72="XL"),0,1)+IF(OR(Charges!Q72="",AND(ISNUMBER(Charges!Q72),Charges!Q72&gt;=0),Charges!Q72="S",Charges!Q72="M",Charges!Q72="L",Charges!Q72="XL"),0,1)+IF(OR(Charges!R72="",AND(ISNUMBER(Charges!R72),Charges!R72&gt;=0),Charges!R72="S",Charges!R72="M",Charges!R72="L",Charges!R72="XL"),0,1)</f>
        <v>0</v>
      </c>
      <c r="U72" t="n">
        <f>IF(AND(1&gt;Paramètres!$B$9,Charges!F72&lt;&gt;"",Charges!F72&lt;&gt;0),1,0)+IF(AND(2&gt;Paramètres!$B$9,Charges!G72&lt;&gt;"",Charges!G72&lt;&gt;0),1,0)+IF(AND(3&gt;Paramètres!$B$9,Charges!H72&lt;&gt;"",Charges!H72&lt;&gt;0),1,0)+IF(AND(4&gt;Paramètres!$B$9,Charges!I72&lt;&gt;"",Charges!I72&lt;&gt;0),1,0)+IF(AND(5&gt;Paramètres!$B$9,Charges!J72&lt;&gt;"",Charges!J72&lt;&gt;0),1,0)+IF(AND(6&gt;Paramètres!$B$9,Charges!K72&lt;&gt;"",Charges!K72&lt;&gt;0),1,0)+IF(AND(7&gt;Paramètres!$B$9,Charges!L72&lt;&gt;"",Charges!L72&lt;&gt;0),1,0)+IF(AND(8&gt;Paramètres!$B$9,Charges!M72&lt;&gt;"",Charges!M72&lt;&gt;0),1,0)+IF(AND(9&gt;Paramètres!$B$9,Charges!N72&lt;&gt;"",Charges!N72&lt;&gt;0),1,0)+IF(AND(10&gt;Paramètres!$B$9,Charges!O72&lt;&gt;"",Charges!O72&lt;&gt;0),1,0)+IF(AND(11&gt;Paramètres!$B$9,Charges!P72&lt;&gt;"",Charges!P72&lt;&gt;0),1,0)+IF(AND(12&gt;Paramètres!$B$9,Charges!Q72&lt;&gt;"",Charges!Q72&lt;&gt;0),1,0)+IF(AND(13&gt;Paramètres!$B$9,Charges!R72&lt;&gt;"",Charges!R72&lt;&gt;0),1,0)</f>
        <v>0</v>
      </c>
      <c r="V72" t="n">
        <f>IF(IFERROR(VLOOKUP(A72,'Projets'!$A$8:$Z$67,5,FALSE),"")="Engager",1,0)</f>
        <v>0</v>
      </c>
      <c r="W72" t="n">
        <f>IF(IFERROR(VLOOKUP(A72,'Projets'!$A$8:$Z$67,6,FALSE),"")="Engager",1,0)</f>
        <v>0</v>
      </c>
      <c r="X72" t="n">
        <f>E72*S72</f>
        <v>0</v>
      </c>
      <c r="Y72" t="n">
        <f>F72*S72</f>
        <v>0</v>
      </c>
      <c r="Z72" t="n">
        <f>G72*S72</f>
        <v>0</v>
      </c>
      <c r="AA72" t="n">
        <f>H72*S72</f>
        <v>0</v>
      </c>
      <c r="AB72" t="n">
        <f>I72*S72</f>
        <v>0</v>
      </c>
      <c r="AC72" t="n">
        <f>J72*S72</f>
        <v>0</v>
      </c>
      <c r="AD72" t="n">
        <f>K72*S72</f>
        <v>0</v>
      </c>
      <c r="AE72" t="n">
        <f>L72*S72</f>
        <v>0</v>
      </c>
      <c r="AF72" t="n">
        <f>M72*S72</f>
        <v>0</v>
      </c>
      <c r="AG72" t="n">
        <f>N72*S72</f>
        <v>0</v>
      </c>
      <c r="AH72" t="n">
        <f>O72*S72</f>
        <v>0</v>
      </c>
      <c r="AI72" t="n">
        <f>P72*S72</f>
        <v>0</v>
      </c>
      <c r="AJ72" t="n">
        <f>Q72*S72</f>
        <v>0</v>
      </c>
      <c r="AK72" t="n">
        <f>E72*V72</f>
        <v>0</v>
      </c>
      <c r="AL72" t="n">
        <f>F72*V72</f>
        <v>0</v>
      </c>
      <c r="AM72" t="n">
        <f>G72*V72</f>
        <v>0</v>
      </c>
      <c r="AN72" t="n">
        <f>H72*V72</f>
        <v>0</v>
      </c>
      <c r="AO72" t="n">
        <f>I72*V72</f>
        <v>0</v>
      </c>
      <c r="AP72" t="n">
        <f>J72*V72</f>
        <v>0</v>
      </c>
      <c r="AQ72" t="n">
        <f>K72*V72</f>
        <v>0</v>
      </c>
      <c r="AR72" t="n">
        <f>L72*V72</f>
        <v>0</v>
      </c>
      <c r="AS72" t="n">
        <f>M72*V72</f>
        <v>0</v>
      </c>
      <c r="AT72" t="n">
        <f>N72*V72</f>
        <v>0</v>
      </c>
      <c r="AU72" t="n">
        <f>O72*V72</f>
        <v>0</v>
      </c>
      <c r="AV72" t="n">
        <f>P72*V72</f>
        <v>0</v>
      </c>
      <c r="AW72" t="n">
        <f>Q72*V72</f>
        <v>0</v>
      </c>
      <c r="AX72" t="n">
        <f>E72*W72</f>
        <v>0</v>
      </c>
      <c r="AY72" t="n">
        <f>F72*W72</f>
        <v>0</v>
      </c>
      <c r="AZ72" t="n">
        <f>G72*W72</f>
        <v>0</v>
      </c>
      <c r="BA72" t="n">
        <f>H72*W72</f>
        <v>0</v>
      </c>
      <c r="BB72" t="n">
        <f>I72*W72</f>
        <v>0</v>
      </c>
      <c r="BC72" t="n">
        <f>J72*W72</f>
        <v>0</v>
      </c>
      <c r="BD72" t="n">
        <f>K72*W72</f>
        <v>0</v>
      </c>
      <c r="BE72" t="n">
        <f>L72*W72</f>
        <v>0</v>
      </c>
      <c r="BF72" t="n">
        <f>M72*W72</f>
        <v>0</v>
      </c>
      <c r="BG72" t="n">
        <f>N72*W72</f>
        <v>0</v>
      </c>
      <c r="BH72" t="n">
        <f>O72*W72</f>
        <v>0</v>
      </c>
      <c r="BI72" t="n">
        <f>P72*W72</f>
        <v>0</v>
      </c>
      <c r="BJ72" t="n">
        <f>Q72*W72</f>
        <v>0</v>
      </c>
    </row>
    <row r="73">
      <c r="A73" t="n">
        <f>Charges!A73</f>
        <v>0</v>
      </c>
      <c r="B73" t="n">
        <f>Charges!C73</f>
        <v>0</v>
      </c>
      <c r="C73" t="str">
        <f>Charges!D73</f>
        <v/>
      </c>
      <c r="E73" t="n">
        <f>IF(1&lt;=Paramètres!$B$9,MAX(0,IFERROR(N(IF(ISNUMBER(Charges!F73),MAX(0,Charges!F73),IFERROR(VLOOKUP(Charges!F73,Paramètres!$A$15:$B$18,2,FALSE),0))),0)),0)</f>
        <v>0</v>
      </c>
      <c r="F73" t="n">
        <f>IF(2&lt;=Paramètres!$B$9,MAX(0,IFERROR(N(IF(ISNUMBER(Charges!G73),MAX(0,Charges!G73),IFERROR(VLOOKUP(Charges!G73,Paramètres!$A$15:$B$18,2,FALSE),0))),0)),0)</f>
        <v>0</v>
      </c>
      <c r="G73" t="n">
        <f>IF(3&lt;=Paramètres!$B$9,MAX(0,IFERROR(N(IF(ISNUMBER(Charges!H73),MAX(0,Charges!H73),IFERROR(VLOOKUP(Charges!H73,Paramètres!$A$15:$B$18,2,FALSE),0))),0)),0)</f>
        <v>0</v>
      </c>
      <c r="H73" t="n">
        <f>IF(4&lt;=Paramètres!$B$9,MAX(0,IFERROR(N(IF(ISNUMBER(Charges!I73),MAX(0,Charges!I73),IFERROR(VLOOKUP(Charges!I73,Paramètres!$A$15:$B$18,2,FALSE),0))),0)),0)</f>
        <v>0</v>
      </c>
      <c r="I73" t="n">
        <f>IF(5&lt;=Paramètres!$B$9,MAX(0,IFERROR(N(IF(ISNUMBER(Charges!J73),MAX(0,Charges!J73),IFERROR(VLOOKUP(Charges!J73,Paramètres!$A$15:$B$18,2,FALSE),0))),0)),0)</f>
        <v>0</v>
      </c>
      <c r="J73" t="n">
        <f>IF(6&lt;=Paramètres!$B$9,MAX(0,IFERROR(N(IF(ISNUMBER(Charges!K73),MAX(0,Charges!K73),IFERROR(VLOOKUP(Charges!K73,Paramètres!$A$15:$B$18,2,FALSE),0))),0)),0)</f>
        <v>0</v>
      </c>
      <c r="K73" t="n">
        <f>IF(7&lt;=Paramètres!$B$9,MAX(0,IFERROR(N(IF(ISNUMBER(Charges!L73),MAX(0,Charges!L73),IFERROR(VLOOKUP(Charges!L73,Paramètres!$A$15:$B$18,2,FALSE),0))),0)),0)</f>
        <v>0</v>
      </c>
      <c r="L73" t="n">
        <f>IF(8&lt;=Paramètres!$B$9,MAX(0,IFERROR(N(IF(ISNUMBER(Charges!M73),MAX(0,Charges!M73),IFERROR(VLOOKUP(Charges!M73,Paramètres!$A$15:$B$18,2,FALSE),0))),0)),0)</f>
        <v>0</v>
      </c>
      <c r="M73" t="n">
        <f>IF(9&lt;=Paramètres!$B$9,MAX(0,IFERROR(N(IF(ISNUMBER(Charges!N73),MAX(0,Charges!N73),IFERROR(VLOOKUP(Charges!N73,Paramètres!$A$15:$B$18,2,FALSE),0))),0)),0)</f>
        <v>0</v>
      </c>
      <c r="N73" t="n">
        <f>IF(10&lt;=Paramètres!$B$9,MAX(0,IFERROR(N(IF(ISNUMBER(Charges!O73),MAX(0,Charges!O73),IFERROR(VLOOKUP(Charges!O73,Paramètres!$A$15:$B$18,2,FALSE),0))),0)),0)</f>
        <v>0</v>
      </c>
      <c r="O73" t="n">
        <f>IF(11&lt;=Paramètres!$B$9,MAX(0,IFERROR(N(IF(ISNUMBER(Charges!P73),MAX(0,Charges!P73),IFERROR(VLOOKUP(Charges!P73,Paramètres!$A$15:$B$18,2,FALSE),0))),0)),0)</f>
        <v>0</v>
      </c>
      <c r="P73" t="n">
        <f>IF(12&lt;=Paramètres!$B$9,MAX(0,IFERROR(N(IF(ISNUMBER(Charges!Q73),MAX(0,Charges!Q73),IFERROR(VLOOKUP(Charges!Q73,Paramètres!$A$15:$B$18,2,FALSE),0))),0)),0)</f>
        <v>0</v>
      </c>
      <c r="Q73" t="n">
        <f>IF(13&lt;=Paramètres!$B$9,MAX(0,IFERROR(N(IF(ISNUMBER(Charges!R73),MAX(0,Charges!R73),IFERROR(VLOOKUP(Charges!R73,Paramètres!$A$15:$B$18,2,FALSE),0))),0)),0)</f>
        <v>0</v>
      </c>
      <c r="R73" t="n">
        <f>SUM(E73:Q73)</f>
        <v>0</v>
      </c>
      <c r="S73" t="n">
        <f>IF(IFERROR(VLOOKUP(A73,'Projets'!$A$8:$Z$67,7,FALSE),"")="Engager",1,0)</f>
        <v>0</v>
      </c>
      <c r="T73" t="n">
        <f>IF(OR(Charges!F73="",AND(ISNUMBER(Charges!F73),Charges!F73&gt;=0),Charges!F73="S",Charges!F73="M",Charges!F73="L",Charges!F73="XL"),0,1)+IF(OR(Charges!G73="",AND(ISNUMBER(Charges!G73),Charges!G73&gt;=0),Charges!G73="S",Charges!G73="M",Charges!G73="L",Charges!G73="XL"),0,1)+IF(OR(Charges!H73="",AND(ISNUMBER(Charges!H73),Charges!H73&gt;=0),Charges!H73="S",Charges!H73="M",Charges!H73="L",Charges!H73="XL"),0,1)+IF(OR(Charges!I73="",AND(ISNUMBER(Charges!I73),Charges!I73&gt;=0),Charges!I73="S",Charges!I73="M",Charges!I73="L",Charges!I73="XL"),0,1)+IF(OR(Charges!J73="",AND(ISNUMBER(Charges!J73),Charges!J73&gt;=0),Charges!J73="S",Charges!J73="M",Charges!J73="L",Charges!J73="XL"),0,1)+IF(OR(Charges!K73="",AND(ISNUMBER(Charges!K73),Charges!K73&gt;=0),Charges!K73="S",Charges!K73="M",Charges!K73="L",Charges!K73="XL"),0,1)+IF(OR(Charges!L73="",AND(ISNUMBER(Charges!L73),Charges!L73&gt;=0),Charges!L73="S",Charges!L73="M",Charges!L73="L",Charges!L73="XL"),0,1)+IF(OR(Charges!M73="",AND(ISNUMBER(Charges!M73),Charges!M73&gt;=0),Charges!M73="S",Charges!M73="M",Charges!M73="L",Charges!M73="XL"),0,1)+IF(OR(Charges!N73="",AND(ISNUMBER(Charges!N73),Charges!N73&gt;=0),Charges!N73="S",Charges!N73="M",Charges!N73="L",Charges!N73="XL"),0,1)+IF(OR(Charges!O73="",AND(ISNUMBER(Charges!O73),Charges!O73&gt;=0),Charges!O73="S",Charges!O73="M",Charges!O73="L",Charges!O73="XL"),0,1)+IF(OR(Charges!P73="",AND(ISNUMBER(Charges!P73),Charges!P73&gt;=0),Charges!P73="S",Charges!P73="M",Charges!P73="L",Charges!P73="XL"),0,1)+IF(OR(Charges!Q73="",AND(ISNUMBER(Charges!Q73),Charges!Q73&gt;=0),Charges!Q73="S",Charges!Q73="M",Charges!Q73="L",Charges!Q73="XL"),0,1)+IF(OR(Charges!R73="",AND(ISNUMBER(Charges!R73),Charges!R73&gt;=0),Charges!R73="S",Charges!R73="M",Charges!R73="L",Charges!R73="XL"),0,1)</f>
        <v>0</v>
      </c>
      <c r="U73" t="n">
        <f>IF(AND(1&gt;Paramètres!$B$9,Charges!F73&lt;&gt;"",Charges!F73&lt;&gt;0),1,0)+IF(AND(2&gt;Paramètres!$B$9,Charges!G73&lt;&gt;"",Charges!G73&lt;&gt;0),1,0)+IF(AND(3&gt;Paramètres!$B$9,Charges!H73&lt;&gt;"",Charges!H73&lt;&gt;0),1,0)+IF(AND(4&gt;Paramètres!$B$9,Charges!I73&lt;&gt;"",Charges!I73&lt;&gt;0),1,0)+IF(AND(5&gt;Paramètres!$B$9,Charges!J73&lt;&gt;"",Charges!J73&lt;&gt;0),1,0)+IF(AND(6&gt;Paramètres!$B$9,Charges!K73&lt;&gt;"",Charges!K73&lt;&gt;0),1,0)+IF(AND(7&gt;Paramètres!$B$9,Charges!L73&lt;&gt;"",Charges!L73&lt;&gt;0),1,0)+IF(AND(8&gt;Paramètres!$B$9,Charges!M73&lt;&gt;"",Charges!M73&lt;&gt;0),1,0)+IF(AND(9&gt;Paramètres!$B$9,Charges!N73&lt;&gt;"",Charges!N73&lt;&gt;0),1,0)+IF(AND(10&gt;Paramètres!$B$9,Charges!O73&lt;&gt;"",Charges!O73&lt;&gt;0),1,0)+IF(AND(11&gt;Paramètres!$B$9,Charges!P73&lt;&gt;"",Charges!P73&lt;&gt;0),1,0)+IF(AND(12&gt;Paramètres!$B$9,Charges!Q73&lt;&gt;"",Charges!Q73&lt;&gt;0),1,0)+IF(AND(13&gt;Paramètres!$B$9,Charges!R73&lt;&gt;"",Charges!R73&lt;&gt;0),1,0)</f>
        <v>0</v>
      </c>
      <c r="V73" t="n">
        <f>IF(IFERROR(VLOOKUP(A73,'Projets'!$A$8:$Z$67,5,FALSE),"")="Engager",1,0)</f>
        <v>0</v>
      </c>
      <c r="W73" t="n">
        <f>IF(IFERROR(VLOOKUP(A73,'Projets'!$A$8:$Z$67,6,FALSE),"")="Engager",1,0)</f>
        <v>0</v>
      </c>
      <c r="X73" t="n">
        <f>E73*S73</f>
        <v>0</v>
      </c>
      <c r="Y73" t="n">
        <f>F73*S73</f>
        <v>0</v>
      </c>
      <c r="Z73" t="n">
        <f>G73*S73</f>
        <v>0</v>
      </c>
      <c r="AA73" t="n">
        <f>H73*S73</f>
        <v>0</v>
      </c>
      <c r="AB73" t="n">
        <f>I73*S73</f>
        <v>0</v>
      </c>
      <c r="AC73" t="n">
        <f>J73*S73</f>
        <v>0</v>
      </c>
      <c r="AD73" t="n">
        <f>K73*S73</f>
        <v>0</v>
      </c>
      <c r="AE73" t="n">
        <f>L73*S73</f>
        <v>0</v>
      </c>
      <c r="AF73" t="n">
        <f>M73*S73</f>
        <v>0</v>
      </c>
      <c r="AG73" t="n">
        <f>N73*S73</f>
        <v>0</v>
      </c>
      <c r="AH73" t="n">
        <f>O73*S73</f>
        <v>0</v>
      </c>
      <c r="AI73" t="n">
        <f>P73*S73</f>
        <v>0</v>
      </c>
      <c r="AJ73" t="n">
        <f>Q73*S73</f>
        <v>0</v>
      </c>
      <c r="AK73" t="n">
        <f>E73*V73</f>
        <v>0</v>
      </c>
      <c r="AL73" t="n">
        <f>F73*V73</f>
        <v>0</v>
      </c>
      <c r="AM73" t="n">
        <f>G73*V73</f>
        <v>0</v>
      </c>
      <c r="AN73" t="n">
        <f>H73*V73</f>
        <v>0</v>
      </c>
      <c r="AO73" t="n">
        <f>I73*V73</f>
        <v>0</v>
      </c>
      <c r="AP73" t="n">
        <f>J73*V73</f>
        <v>0</v>
      </c>
      <c r="AQ73" t="n">
        <f>K73*V73</f>
        <v>0</v>
      </c>
      <c r="AR73" t="n">
        <f>L73*V73</f>
        <v>0</v>
      </c>
      <c r="AS73" t="n">
        <f>M73*V73</f>
        <v>0</v>
      </c>
      <c r="AT73" t="n">
        <f>N73*V73</f>
        <v>0</v>
      </c>
      <c r="AU73" t="n">
        <f>O73*V73</f>
        <v>0</v>
      </c>
      <c r="AV73" t="n">
        <f>P73*V73</f>
        <v>0</v>
      </c>
      <c r="AW73" t="n">
        <f>Q73*V73</f>
        <v>0</v>
      </c>
      <c r="AX73" t="n">
        <f>E73*W73</f>
        <v>0</v>
      </c>
      <c r="AY73" t="n">
        <f>F73*W73</f>
        <v>0</v>
      </c>
      <c r="AZ73" t="n">
        <f>G73*W73</f>
        <v>0</v>
      </c>
      <c r="BA73" t="n">
        <f>H73*W73</f>
        <v>0</v>
      </c>
      <c r="BB73" t="n">
        <f>I73*W73</f>
        <v>0</v>
      </c>
      <c r="BC73" t="n">
        <f>J73*W73</f>
        <v>0</v>
      </c>
      <c r="BD73" t="n">
        <f>K73*W73</f>
        <v>0</v>
      </c>
      <c r="BE73" t="n">
        <f>L73*W73</f>
        <v>0</v>
      </c>
      <c r="BF73" t="n">
        <f>M73*W73</f>
        <v>0</v>
      </c>
      <c r="BG73" t="n">
        <f>N73*W73</f>
        <v>0</v>
      </c>
      <c r="BH73" t="n">
        <f>O73*W73</f>
        <v>0</v>
      </c>
      <c r="BI73" t="n">
        <f>P73*W73</f>
        <v>0</v>
      </c>
      <c r="BJ73" t="n">
        <f>Q73*W73</f>
        <v>0</v>
      </c>
    </row>
    <row r="74">
      <c r="A74" t="n">
        <f>Charges!A74</f>
        <v>0</v>
      </c>
      <c r="B74" t="n">
        <f>Charges!C74</f>
        <v>0</v>
      </c>
      <c r="C74" t="str">
        <f>Charges!D74</f>
        <v/>
      </c>
      <c r="E74" t="n">
        <f>IF(1&lt;=Paramètres!$B$9,MAX(0,IFERROR(N(IF(ISNUMBER(Charges!F74),MAX(0,Charges!F74),IFERROR(VLOOKUP(Charges!F74,Paramètres!$A$15:$B$18,2,FALSE),0))),0)),0)</f>
        <v>0</v>
      </c>
      <c r="F74" t="n">
        <f>IF(2&lt;=Paramètres!$B$9,MAX(0,IFERROR(N(IF(ISNUMBER(Charges!G74),MAX(0,Charges!G74),IFERROR(VLOOKUP(Charges!G74,Paramètres!$A$15:$B$18,2,FALSE),0))),0)),0)</f>
        <v>0</v>
      </c>
      <c r="G74" t="n">
        <f>IF(3&lt;=Paramètres!$B$9,MAX(0,IFERROR(N(IF(ISNUMBER(Charges!H74),MAX(0,Charges!H74),IFERROR(VLOOKUP(Charges!H74,Paramètres!$A$15:$B$18,2,FALSE),0))),0)),0)</f>
        <v>0</v>
      </c>
      <c r="H74" t="n">
        <f>IF(4&lt;=Paramètres!$B$9,MAX(0,IFERROR(N(IF(ISNUMBER(Charges!I74),MAX(0,Charges!I74),IFERROR(VLOOKUP(Charges!I74,Paramètres!$A$15:$B$18,2,FALSE),0))),0)),0)</f>
        <v>0</v>
      </c>
      <c r="I74" t="n">
        <f>IF(5&lt;=Paramètres!$B$9,MAX(0,IFERROR(N(IF(ISNUMBER(Charges!J74),MAX(0,Charges!J74),IFERROR(VLOOKUP(Charges!J74,Paramètres!$A$15:$B$18,2,FALSE),0))),0)),0)</f>
        <v>0</v>
      </c>
      <c r="J74" t="n">
        <f>IF(6&lt;=Paramètres!$B$9,MAX(0,IFERROR(N(IF(ISNUMBER(Charges!K74),MAX(0,Charges!K74),IFERROR(VLOOKUP(Charges!K74,Paramètres!$A$15:$B$18,2,FALSE),0))),0)),0)</f>
        <v>0</v>
      </c>
      <c r="K74" t="n">
        <f>IF(7&lt;=Paramètres!$B$9,MAX(0,IFERROR(N(IF(ISNUMBER(Charges!L74),MAX(0,Charges!L74),IFERROR(VLOOKUP(Charges!L74,Paramètres!$A$15:$B$18,2,FALSE),0))),0)),0)</f>
        <v>0</v>
      </c>
      <c r="L74" t="n">
        <f>IF(8&lt;=Paramètres!$B$9,MAX(0,IFERROR(N(IF(ISNUMBER(Charges!M74),MAX(0,Charges!M74),IFERROR(VLOOKUP(Charges!M74,Paramètres!$A$15:$B$18,2,FALSE),0))),0)),0)</f>
        <v>0</v>
      </c>
      <c r="M74" t="n">
        <f>IF(9&lt;=Paramètres!$B$9,MAX(0,IFERROR(N(IF(ISNUMBER(Charges!N74),MAX(0,Charges!N74),IFERROR(VLOOKUP(Charges!N74,Paramètres!$A$15:$B$18,2,FALSE),0))),0)),0)</f>
        <v>0</v>
      </c>
      <c r="N74" t="n">
        <f>IF(10&lt;=Paramètres!$B$9,MAX(0,IFERROR(N(IF(ISNUMBER(Charges!O74),MAX(0,Charges!O74),IFERROR(VLOOKUP(Charges!O74,Paramètres!$A$15:$B$18,2,FALSE),0))),0)),0)</f>
        <v>0</v>
      </c>
      <c r="O74" t="n">
        <f>IF(11&lt;=Paramètres!$B$9,MAX(0,IFERROR(N(IF(ISNUMBER(Charges!P74),MAX(0,Charges!P74),IFERROR(VLOOKUP(Charges!P74,Paramètres!$A$15:$B$18,2,FALSE),0))),0)),0)</f>
        <v>0</v>
      </c>
      <c r="P74" t="n">
        <f>IF(12&lt;=Paramètres!$B$9,MAX(0,IFERROR(N(IF(ISNUMBER(Charges!Q74),MAX(0,Charges!Q74),IFERROR(VLOOKUP(Charges!Q74,Paramètres!$A$15:$B$18,2,FALSE),0))),0)),0)</f>
        <v>0</v>
      </c>
      <c r="Q74" t="n">
        <f>IF(13&lt;=Paramètres!$B$9,MAX(0,IFERROR(N(IF(ISNUMBER(Charges!R74),MAX(0,Charges!R74),IFERROR(VLOOKUP(Charges!R74,Paramètres!$A$15:$B$18,2,FALSE),0))),0)),0)</f>
        <v>0</v>
      </c>
      <c r="R74" t="n">
        <f>SUM(E74:Q74)</f>
        <v>0</v>
      </c>
      <c r="S74" t="n">
        <f>IF(IFERROR(VLOOKUP(A74,'Projets'!$A$8:$Z$67,7,FALSE),"")="Engager",1,0)</f>
        <v>0</v>
      </c>
      <c r="T74" t="n">
        <f>IF(OR(Charges!F74="",AND(ISNUMBER(Charges!F74),Charges!F74&gt;=0),Charges!F74="S",Charges!F74="M",Charges!F74="L",Charges!F74="XL"),0,1)+IF(OR(Charges!G74="",AND(ISNUMBER(Charges!G74),Charges!G74&gt;=0),Charges!G74="S",Charges!G74="M",Charges!G74="L",Charges!G74="XL"),0,1)+IF(OR(Charges!H74="",AND(ISNUMBER(Charges!H74),Charges!H74&gt;=0),Charges!H74="S",Charges!H74="M",Charges!H74="L",Charges!H74="XL"),0,1)+IF(OR(Charges!I74="",AND(ISNUMBER(Charges!I74),Charges!I74&gt;=0),Charges!I74="S",Charges!I74="M",Charges!I74="L",Charges!I74="XL"),0,1)+IF(OR(Charges!J74="",AND(ISNUMBER(Charges!J74),Charges!J74&gt;=0),Charges!J74="S",Charges!J74="M",Charges!J74="L",Charges!J74="XL"),0,1)+IF(OR(Charges!K74="",AND(ISNUMBER(Charges!K74),Charges!K74&gt;=0),Charges!K74="S",Charges!K74="M",Charges!K74="L",Charges!K74="XL"),0,1)+IF(OR(Charges!L74="",AND(ISNUMBER(Charges!L74),Charges!L74&gt;=0),Charges!L74="S",Charges!L74="M",Charges!L74="L",Charges!L74="XL"),0,1)+IF(OR(Charges!M74="",AND(ISNUMBER(Charges!M74),Charges!M74&gt;=0),Charges!M74="S",Charges!M74="M",Charges!M74="L",Charges!M74="XL"),0,1)+IF(OR(Charges!N74="",AND(ISNUMBER(Charges!N74),Charges!N74&gt;=0),Charges!N74="S",Charges!N74="M",Charges!N74="L",Charges!N74="XL"),0,1)+IF(OR(Charges!O74="",AND(ISNUMBER(Charges!O74),Charges!O74&gt;=0),Charges!O74="S",Charges!O74="M",Charges!O74="L",Charges!O74="XL"),0,1)+IF(OR(Charges!P74="",AND(ISNUMBER(Charges!P74),Charges!P74&gt;=0),Charges!P74="S",Charges!P74="M",Charges!P74="L",Charges!P74="XL"),0,1)+IF(OR(Charges!Q74="",AND(ISNUMBER(Charges!Q74),Charges!Q74&gt;=0),Charges!Q74="S",Charges!Q74="M",Charges!Q74="L",Charges!Q74="XL"),0,1)+IF(OR(Charges!R74="",AND(ISNUMBER(Charges!R74),Charges!R74&gt;=0),Charges!R74="S",Charges!R74="M",Charges!R74="L",Charges!R74="XL"),0,1)</f>
        <v>0</v>
      </c>
      <c r="U74" t="n">
        <f>IF(AND(1&gt;Paramètres!$B$9,Charges!F74&lt;&gt;"",Charges!F74&lt;&gt;0),1,0)+IF(AND(2&gt;Paramètres!$B$9,Charges!G74&lt;&gt;"",Charges!G74&lt;&gt;0),1,0)+IF(AND(3&gt;Paramètres!$B$9,Charges!H74&lt;&gt;"",Charges!H74&lt;&gt;0),1,0)+IF(AND(4&gt;Paramètres!$B$9,Charges!I74&lt;&gt;"",Charges!I74&lt;&gt;0),1,0)+IF(AND(5&gt;Paramètres!$B$9,Charges!J74&lt;&gt;"",Charges!J74&lt;&gt;0),1,0)+IF(AND(6&gt;Paramètres!$B$9,Charges!K74&lt;&gt;"",Charges!K74&lt;&gt;0),1,0)+IF(AND(7&gt;Paramètres!$B$9,Charges!L74&lt;&gt;"",Charges!L74&lt;&gt;0),1,0)+IF(AND(8&gt;Paramètres!$B$9,Charges!M74&lt;&gt;"",Charges!M74&lt;&gt;0),1,0)+IF(AND(9&gt;Paramètres!$B$9,Charges!N74&lt;&gt;"",Charges!N74&lt;&gt;0),1,0)+IF(AND(10&gt;Paramètres!$B$9,Charges!O74&lt;&gt;"",Charges!O74&lt;&gt;0),1,0)+IF(AND(11&gt;Paramètres!$B$9,Charges!P74&lt;&gt;"",Charges!P74&lt;&gt;0),1,0)+IF(AND(12&gt;Paramètres!$B$9,Charges!Q74&lt;&gt;"",Charges!Q74&lt;&gt;0),1,0)+IF(AND(13&gt;Paramètres!$B$9,Charges!R74&lt;&gt;"",Charges!R74&lt;&gt;0),1,0)</f>
        <v>0</v>
      </c>
      <c r="V74" t="n">
        <f>IF(IFERROR(VLOOKUP(A74,'Projets'!$A$8:$Z$67,5,FALSE),"")="Engager",1,0)</f>
        <v>0</v>
      </c>
      <c r="W74" t="n">
        <f>IF(IFERROR(VLOOKUP(A74,'Projets'!$A$8:$Z$67,6,FALSE),"")="Engager",1,0)</f>
        <v>0</v>
      </c>
      <c r="X74" t="n">
        <f>E74*S74</f>
        <v>0</v>
      </c>
      <c r="Y74" t="n">
        <f>F74*S74</f>
        <v>0</v>
      </c>
      <c r="Z74" t="n">
        <f>G74*S74</f>
        <v>0</v>
      </c>
      <c r="AA74" t="n">
        <f>H74*S74</f>
        <v>0</v>
      </c>
      <c r="AB74" t="n">
        <f>I74*S74</f>
        <v>0</v>
      </c>
      <c r="AC74" t="n">
        <f>J74*S74</f>
        <v>0</v>
      </c>
      <c r="AD74" t="n">
        <f>K74*S74</f>
        <v>0</v>
      </c>
      <c r="AE74" t="n">
        <f>L74*S74</f>
        <v>0</v>
      </c>
      <c r="AF74" t="n">
        <f>M74*S74</f>
        <v>0</v>
      </c>
      <c r="AG74" t="n">
        <f>N74*S74</f>
        <v>0</v>
      </c>
      <c r="AH74" t="n">
        <f>O74*S74</f>
        <v>0</v>
      </c>
      <c r="AI74" t="n">
        <f>P74*S74</f>
        <v>0</v>
      </c>
      <c r="AJ74" t="n">
        <f>Q74*S74</f>
        <v>0</v>
      </c>
      <c r="AK74" t="n">
        <f>E74*V74</f>
        <v>0</v>
      </c>
      <c r="AL74" t="n">
        <f>F74*V74</f>
        <v>0</v>
      </c>
      <c r="AM74" t="n">
        <f>G74*V74</f>
        <v>0</v>
      </c>
      <c r="AN74" t="n">
        <f>H74*V74</f>
        <v>0</v>
      </c>
      <c r="AO74" t="n">
        <f>I74*V74</f>
        <v>0</v>
      </c>
      <c r="AP74" t="n">
        <f>J74*V74</f>
        <v>0</v>
      </c>
      <c r="AQ74" t="n">
        <f>K74*V74</f>
        <v>0</v>
      </c>
      <c r="AR74" t="n">
        <f>L74*V74</f>
        <v>0</v>
      </c>
      <c r="AS74" t="n">
        <f>M74*V74</f>
        <v>0</v>
      </c>
      <c r="AT74" t="n">
        <f>N74*V74</f>
        <v>0</v>
      </c>
      <c r="AU74" t="n">
        <f>O74*V74</f>
        <v>0</v>
      </c>
      <c r="AV74" t="n">
        <f>P74*V74</f>
        <v>0</v>
      </c>
      <c r="AW74" t="n">
        <f>Q74*V74</f>
        <v>0</v>
      </c>
      <c r="AX74" t="n">
        <f>E74*W74</f>
        <v>0</v>
      </c>
      <c r="AY74" t="n">
        <f>F74*W74</f>
        <v>0</v>
      </c>
      <c r="AZ74" t="n">
        <f>G74*W74</f>
        <v>0</v>
      </c>
      <c r="BA74" t="n">
        <f>H74*W74</f>
        <v>0</v>
      </c>
      <c r="BB74" t="n">
        <f>I74*W74</f>
        <v>0</v>
      </c>
      <c r="BC74" t="n">
        <f>J74*W74</f>
        <v>0</v>
      </c>
      <c r="BD74" t="n">
        <f>K74*W74</f>
        <v>0</v>
      </c>
      <c r="BE74" t="n">
        <f>L74*W74</f>
        <v>0</v>
      </c>
      <c r="BF74" t="n">
        <f>M74*W74</f>
        <v>0</v>
      </c>
      <c r="BG74" t="n">
        <f>N74*W74</f>
        <v>0</v>
      </c>
      <c r="BH74" t="n">
        <f>O74*W74</f>
        <v>0</v>
      </c>
      <c r="BI74" t="n">
        <f>P74*W74</f>
        <v>0</v>
      </c>
      <c r="BJ74" t="n">
        <f>Q74*W74</f>
        <v>0</v>
      </c>
    </row>
    <row r="75">
      <c r="A75" t="n">
        <f>Charges!A75</f>
        <v>0</v>
      </c>
      <c r="B75" t="n">
        <f>Charges!C75</f>
        <v>0</v>
      </c>
      <c r="C75" t="str">
        <f>Charges!D75</f>
        <v/>
      </c>
      <c r="E75" t="n">
        <f>IF(1&lt;=Paramètres!$B$9,MAX(0,IFERROR(N(IF(ISNUMBER(Charges!F75),MAX(0,Charges!F75),IFERROR(VLOOKUP(Charges!F75,Paramètres!$A$15:$B$18,2,FALSE),0))),0)),0)</f>
        <v>0</v>
      </c>
      <c r="F75" t="n">
        <f>IF(2&lt;=Paramètres!$B$9,MAX(0,IFERROR(N(IF(ISNUMBER(Charges!G75),MAX(0,Charges!G75),IFERROR(VLOOKUP(Charges!G75,Paramètres!$A$15:$B$18,2,FALSE),0))),0)),0)</f>
        <v>0</v>
      </c>
      <c r="G75" t="n">
        <f>IF(3&lt;=Paramètres!$B$9,MAX(0,IFERROR(N(IF(ISNUMBER(Charges!H75),MAX(0,Charges!H75),IFERROR(VLOOKUP(Charges!H75,Paramètres!$A$15:$B$18,2,FALSE),0))),0)),0)</f>
        <v>0</v>
      </c>
      <c r="H75" t="n">
        <f>IF(4&lt;=Paramètres!$B$9,MAX(0,IFERROR(N(IF(ISNUMBER(Charges!I75),MAX(0,Charges!I75),IFERROR(VLOOKUP(Charges!I75,Paramètres!$A$15:$B$18,2,FALSE),0))),0)),0)</f>
        <v>0</v>
      </c>
      <c r="I75" t="n">
        <f>IF(5&lt;=Paramètres!$B$9,MAX(0,IFERROR(N(IF(ISNUMBER(Charges!J75),MAX(0,Charges!J75),IFERROR(VLOOKUP(Charges!J75,Paramètres!$A$15:$B$18,2,FALSE),0))),0)),0)</f>
        <v>0</v>
      </c>
      <c r="J75" t="n">
        <f>IF(6&lt;=Paramètres!$B$9,MAX(0,IFERROR(N(IF(ISNUMBER(Charges!K75),MAX(0,Charges!K75),IFERROR(VLOOKUP(Charges!K75,Paramètres!$A$15:$B$18,2,FALSE),0))),0)),0)</f>
        <v>0</v>
      </c>
      <c r="K75" t="n">
        <f>IF(7&lt;=Paramètres!$B$9,MAX(0,IFERROR(N(IF(ISNUMBER(Charges!L75),MAX(0,Charges!L75),IFERROR(VLOOKUP(Charges!L75,Paramètres!$A$15:$B$18,2,FALSE),0))),0)),0)</f>
        <v>0</v>
      </c>
      <c r="L75" t="n">
        <f>IF(8&lt;=Paramètres!$B$9,MAX(0,IFERROR(N(IF(ISNUMBER(Charges!M75),MAX(0,Charges!M75),IFERROR(VLOOKUP(Charges!M75,Paramètres!$A$15:$B$18,2,FALSE),0))),0)),0)</f>
        <v>0</v>
      </c>
      <c r="M75" t="n">
        <f>IF(9&lt;=Paramètres!$B$9,MAX(0,IFERROR(N(IF(ISNUMBER(Charges!N75),MAX(0,Charges!N75),IFERROR(VLOOKUP(Charges!N75,Paramètres!$A$15:$B$18,2,FALSE),0))),0)),0)</f>
        <v>0</v>
      </c>
      <c r="N75" t="n">
        <f>IF(10&lt;=Paramètres!$B$9,MAX(0,IFERROR(N(IF(ISNUMBER(Charges!O75),MAX(0,Charges!O75),IFERROR(VLOOKUP(Charges!O75,Paramètres!$A$15:$B$18,2,FALSE),0))),0)),0)</f>
        <v>0</v>
      </c>
      <c r="O75" t="n">
        <f>IF(11&lt;=Paramètres!$B$9,MAX(0,IFERROR(N(IF(ISNUMBER(Charges!P75),MAX(0,Charges!P75),IFERROR(VLOOKUP(Charges!P75,Paramètres!$A$15:$B$18,2,FALSE),0))),0)),0)</f>
        <v>0</v>
      </c>
      <c r="P75" t="n">
        <f>IF(12&lt;=Paramètres!$B$9,MAX(0,IFERROR(N(IF(ISNUMBER(Charges!Q75),MAX(0,Charges!Q75),IFERROR(VLOOKUP(Charges!Q75,Paramètres!$A$15:$B$18,2,FALSE),0))),0)),0)</f>
        <v>0</v>
      </c>
      <c r="Q75" t="n">
        <f>IF(13&lt;=Paramètres!$B$9,MAX(0,IFERROR(N(IF(ISNUMBER(Charges!R75),MAX(0,Charges!R75),IFERROR(VLOOKUP(Charges!R75,Paramètres!$A$15:$B$18,2,FALSE),0))),0)),0)</f>
        <v>0</v>
      </c>
      <c r="R75" t="n">
        <f>SUM(E75:Q75)</f>
        <v>0</v>
      </c>
      <c r="S75" t="n">
        <f>IF(IFERROR(VLOOKUP(A75,'Projets'!$A$8:$Z$67,7,FALSE),"")="Engager",1,0)</f>
        <v>0</v>
      </c>
      <c r="T75" t="n">
        <f>IF(OR(Charges!F75="",AND(ISNUMBER(Charges!F75),Charges!F75&gt;=0),Charges!F75="S",Charges!F75="M",Charges!F75="L",Charges!F75="XL"),0,1)+IF(OR(Charges!G75="",AND(ISNUMBER(Charges!G75),Charges!G75&gt;=0),Charges!G75="S",Charges!G75="M",Charges!G75="L",Charges!G75="XL"),0,1)+IF(OR(Charges!H75="",AND(ISNUMBER(Charges!H75),Charges!H75&gt;=0),Charges!H75="S",Charges!H75="M",Charges!H75="L",Charges!H75="XL"),0,1)+IF(OR(Charges!I75="",AND(ISNUMBER(Charges!I75),Charges!I75&gt;=0),Charges!I75="S",Charges!I75="M",Charges!I75="L",Charges!I75="XL"),0,1)+IF(OR(Charges!J75="",AND(ISNUMBER(Charges!J75),Charges!J75&gt;=0),Charges!J75="S",Charges!J75="M",Charges!J75="L",Charges!J75="XL"),0,1)+IF(OR(Charges!K75="",AND(ISNUMBER(Charges!K75),Charges!K75&gt;=0),Charges!K75="S",Charges!K75="M",Charges!K75="L",Charges!K75="XL"),0,1)+IF(OR(Charges!L75="",AND(ISNUMBER(Charges!L75),Charges!L75&gt;=0),Charges!L75="S",Charges!L75="M",Charges!L75="L",Charges!L75="XL"),0,1)+IF(OR(Charges!M75="",AND(ISNUMBER(Charges!M75),Charges!M75&gt;=0),Charges!M75="S",Charges!M75="M",Charges!M75="L",Charges!M75="XL"),0,1)+IF(OR(Charges!N75="",AND(ISNUMBER(Charges!N75),Charges!N75&gt;=0),Charges!N75="S",Charges!N75="M",Charges!N75="L",Charges!N75="XL"),0,1)+IF(OR(Charges!O75="",AND(ISNUMBER(Charges!O75),Charges!O75&gt;=0),Charges!O75="S",Charges!O75="M",Charges!O75="L",Charges!O75="XL"),0,1)+IF(OR(Charges!P75="",AND(ISNUMBER(Charges!P75),Charges!P75&gt;=0),Charges!P75="S",Charges!P75="M",Charges!P75="L",Charges!P75="XL"),0,1)+IF(OR(Charges!Q75="",AND(ISNUMBER(Charges!Q75),Charges!Q75&gt;=0),Charges!Q75="S",Charges!Q75="M",Charges!Q75="L",Charges!Q75="XL"),0,1)+IF(OR(Charges!R75="",AND(ISNUMBER(Charges!R75),Charges!R75&gt;=0),Charges!R75="S",Charges!R75="M",Charges!R75="L",Charges!R75="XL"),0,1)</f>
        <v>0</v>
      </c>
      <c r="U75" t="n">
        <f>IF(AND(1&gt;Paramètres!$B$9,Charges!F75&lt;&gt;"",Charges!F75&lt;&gt;0),1,0)+IF(AND(2&gt;Paramètres!$B$9,Charges!G75&lt;&gt;"",Charges!G75&lt;&gt;0),1,0)+IF(AND(3&gt;Paramètres!$B$9,Charges!H75&lt;&gt;"",Charges!H75&lt;&gt;0),1,0)+IF(AND(4&gt;Paramètres!$B$9,Charges!I75&lt;&gt;"",Charges!I75&lt;&gt;0),1,0)+IF(AND(5&gt;Paramètres!$B$9,Charges!J75&lt;&gt;"",Charges!J75&lt;&gt;0),1,0)+IF(AND(6&gt;Paramètres!$B$9,Charges!K75&lt;&gt;"",Charges!K75&lt;&gt;0),1,0)+IF(AND(7&gt;Paramètres!$B$9,Charges!L75&lt;&gt;"",Charges!L75&lt;&gt;0),1,0)+IF(AND(8&gt;Paramètres!$B$9,Charges!M75&lt;&gt;"",Charges!M75&lt;&gt;0),1,0)+IF(AND(9&gt;Paramètres!$B$9,Charges!N75&lt;&gt;"",Charges!N75&lt;&gt;0),1,0)+IF(AND(10&gt;Paramètres!$B$9,Charges!O75&lt;&gt;"",Charges!O75&lt;&gt;0),1,0)+IF(AND(11&gt;Paramètres!$B$9,Charges!P75&lt;&gt;"",Charges!P75&lt;&gt;0),1,0)+IF(AND(12&gt;Paramètres!$B$9,Charges!Q75&lt;&gt;"",Charges!Q75&lt;&gt;0),1,0)+IF(AND(13&gt;Paramètres!$B$9,Charges!R75&lt;&gt;"",Charges!R75&lt;&gt;0),1,0)</f>
        <v>0</v>
      </c>
      <c r="V75" t="n">
        <f>IF(IFERROR(VLOOKUP(A75,'Projets'!$A$8:$Z$67,5,FALSE),"")="Engager",1,0)</f>
        <v>0</v>
      </c>
      <c r="W75" t="n">
        <f>IF(IFERROR(VLOOKUP(A75,'Projets'!$A$8:$Z$67,6,FALSE),"")="Engager",1,0)</f>
        <v>0</v>
      </c>
      <c r="X75" t="n">
        <f>E75*S75</f>
        <v>0</v>
      </c>
      <c r="Y75" t="n">
        <f>F75*S75</f>
        <v>0</v>
      </c>
      <c r="Z75" t="n">
        <f>G75*S75</f>
        <v>0</v>
      </c>
      <c r="AA75" t="n">
        <f>H75*S75</f>
        <v>0</v>
      </c>
      <c r="AB75" t="n">
        <f>I75*S75</f>
        <v>0</v>
      </c>
      <c r="AC75" t="n">
        <f>J75*S75</f>
        <v>0</v>
      </c>
      <c r="AD75" t="n">
        <f>K75*S75</f>
        <v>0</v>
      </c>
      <c r="AE75" t="n">
        <f>L75*S75</f>
        <v>0</v>
      </c>
      <c r="AF75" t="n">
        <f>M75*S75</f>
        <v>0</v>
      </c>
      <c r="AG75" t="n">
        <f>N75*S75</f>
        <v>0</v>
      </c>
      <c r="AH75" t="n">
        <f>O75*S75</f>
        <v>0</v>
      </c>
      <c r="AI75" t="n">
        <f>P75*S75</f>
        <v>0</v>
      </c>
      <c r="AJ75" t="n">
        <f>Q75*S75</f>
        <v>0</v>
      </c>
      <c r="AK75" t="n">
        <f>E75*V75</f>
        <v>0</v>
      </c>
      <c r="AL75" t="n">
        <f>F75*V75</f>
        <v>0</v>
      </c>
      <c r="AM75" t="n">
        <f>G75*V75</f>
        <v>0</v>
      </c>
      <c r="AN75" t="n">
        <f>H75*V75</f>
        <v>0</v>
      </c>
      <c r="AO75" t="n">
        <f>I75*V75</f>
        <v>0</v>
      </c>
      <c r="AP75" t="n">
        <f>J75*V75</f>
        <v>0</v>
      </c>
      <c r="AQ75" t="n">
        <f>K75*V75</f>
        <v>0</v>
      </c>
      <c r="AR75" t="n">
        <f>L75*V75</f>
        <v>0</v>
      </c>
      <c r="AS75" t="n">
        <f>M75*V75</f>
        <v>0</v>
      </c>
      <c r="AT75" t="n">
        <f>N75*V75</f>
        <v>0</v>
      </c>
      <c r="AU75" t="n">
        <f>O75*V75</f>
        <v>0</v>
      </c>
      <c r="AV75" t="n">
        <f>P75*V75</f>
        <v>0</v>
      </c>
      <c r="AW75" t="n">
        <f>Q75*V75</f>
        <v>0</v>
      </c>
      <c r="AX75" t="n">
        <f>E75*W75</f>
        <v>0</v>
      </c>
      <c r="AY75" t="n">
        <f>F75*W75</f>
        <v>0</v>
      </c>
      <c r="AZ75" t="n">
        <f>G75*W75</f>
        <v>0</v>
      </c>
      <c r="BA75" t="n">
        <f>H75*W75</f>
        <v>0</v>
      </c>
      <c r="BB75" t="n">
        <f>I75*W75</f>
        <v>0</v>
      </c>
      <c r="BC75" t="n">
        <f>J75*W75</f>
        <v>0</v>
      </c>
      <c r="BD75" t="n">
        <f>K75*W75</f>
        <v>0</v>
      </c>
      <c r="BE75" t="n">
        <f>L75*W75</f>
        <v>0</v>
      </c>
      <c r="BF75" t="n">
        <f>M75*W75</f>
        <v>0</v>
      </c>
      <c r="BG75" t="n">
        <f>N75*W75</f>
        <v>0</v>
      </c>
      <c r="BH75" t="n">
        <f>O75*W75</f>
        <v>0</v>
      </c>
      <c r="BI75" t="n">
        <f>P75*W75</f>
        <v>0</v>
      </c>
      <c r="BJ75" t="n">
        <f>Q75*W75</f>
        <v>0</v>
      </c>
    </row>
    <row r="76">
      <c r="A76" t="n">
        <f>Charges!A76</f>
        <v>0</v>
      </c>
      <c r="B76" t="n">
        <f>Charges!C76</f>
        <v>0</v>
      </c>
      <c r="C76" t="str">
        <f>Charges!D76</f>
        <v/>
      </c>
      <c r="E76" t="n">
        <f>IF(1&lt;=Paramètres!$B$9,MAX(0,IFERROR(N(IF(ISNUMBER(Charges!F76),MAX(0,Charges!F76),IFERROR(VLOOKUP(Charges!F76,Paramètres!$A$15:$B$18,2,FALSE),0))),0)),0)</f>
        <v>0</v>
      </c>
      <c r="F76" t="n">
        <f>IF(2&lt;=Paramètres!$B$9,MAX(0,IFERROR(N(IF(ISNUMBER(Charges!G76),MAX(0,Charges!G76),IFERROR(VLOOKUP(Charges!G76,Paramètres!$A$15:$B$18,2,FALSE),0))),0)),0)</f>
        <v>0</v>
      </c>
      <c r="G76" t="n">
        <f>IF(3&lt;=Paramètres!$B$9,MAX(0,IFERROR(N(IF(ISNUMBER(Charges!H76),MAX(0,Charges!H76),IFERROR(VLOOKUP(Charges!H76,Paramètres!$A$15:$B$18,2,FALSE),0))),0)),0)</f>
        <v>0</v>
      </c>
      <c r="H76" t="n">
        <f>IF(4&lt;=Paramètres!$B$9,MAX(0,IFERROR(N(IF(ISNUMBER(Charges!I76),MAX(0,Charges!I76),IFERROR(VLOOKUP(Charges!I76,Paramètres!$A$15:$B$18,2,FALSE),0))),0)),0)</f>
        <v>0</v>
      </c>
      <c r="I76" t="n">
        <f>IF(5&lt;=Paramètres!$B$9,MAX(0,IFERROR(N(IF(ISNUMBER(Charges!J76),MAX(0,Charges!J76),IFERROR(VLOOKUP(Charges!J76,Paramètres!$A$15:$B$18,2,FALSE),0))),0)),0)</f>
        <v>0</v>
      </c>
      <c r="J76" t="n">
        <f>IF(6&lt;=Paramètres!$B$9,MAX(0,IFERROR(N(IF(ISNUMBER(Charges!K76),MAX(0,Charges!K76),IFERROR(VLOOKUP(Charges!K76,Paramètres!$A$15:$B$18,2,FALSE),0))),0)),0)</f>
        <v>0</v>
      </c>
      <c r="K76" t="n">
        <f>IF(7&lt;=Paramètres!$B$9,MAX(0,IFERROR(N(IF(ISNUMBER(Charges!L76),MAX(0,Charges!L76),IFERROR(VLOOKUP(Charges!L76,Paramètres!$A$15:$B$18,2,FALSE),0))),0)),0)</f>
        <v>0</v>
      </c>
      <c r="L76" t="n">
        <f>IF(8&lt;=Paramètres!$B$9,MAX(0,IFERROR(N(IF(ISNUMBER(Charges!M76),MAX(0,Charges!M76),IFERROR(VLOOKUP(Charges!M76,Paramètres!$A$15:$B$18,2,FALSE),0))),0)),0)</f>
        <v>0</v>
      </c>
      <c r="M76" t="n">
        <f>IF(9&lt;=Paramètres!$B$9,MAX(0,IFERROR(N(IF(ISNUMBER(Charges!N76),MAX(0,Charges!N76),IFERROR(VLOOKUP(Charges!N76,Paramètres!$A$15:$B$18,2,FALSE),0))),0)),0)</f>
        <v>0</v>
      </c>
      <c r="N76" t="n">
        <f>IF(10&lt;=Paramètres!$B$9,MAX(0,IFERROR(N(IF(ISNUMBER(Charges!O76),MAX(0,Charges!O76),IFERROR(VLOOKUP(Charges!O76,Paramètres!$A$15:$B$18,2,FALSE),0))),0)),0)</f>
        <v>0</v>
      </c>
      <c r="O76" t="n">
        <f>IF(11&lt;=Paramètres!$B$9,MAX(0,IFERROR(N(IF(ISNUMBER(Charges!P76),MAX(0,Charges!P76),IFERROR(VLOOKUP(Charges!P76,Paramètres!$A$15:$B$18,2,FALSE),0))),0)),0)</f>
        <v>0</v>
      </c>
      <c r="P76" t="n">
        <f>IF(12&lt;=Paramètres!$B$9,MAX(0,IFERROR(N(IF(ISNUMBER(Charges!Q76),MAX(0,Charges!Q76),IFERROR(VLOOKUP(Charges!Q76,Paramètres!$A$15:$B$18,2,FALSE),0))),0)),0)</f>
        <v>0</v>
      </c>
      <c r="Q76" t="n">
        <f>IF(13&lt;=Paramètres!$B$9,MAX(0,IFERROR(N(IF(ISNUMBER(Charges!R76),MAX(0,Charges!R76),IFERROR(VLOOKUP(Charges!R76,Paramètres!$A$15:$B$18,2,FALSE),0))),0)),0)</f>
        <v>0</v>
      </c>
      <c r="R76" t="n">
        <f>SUM(E76:Q76)</f>
        <v>0</v>
      </c>
      <c r="S76" t="n">
        <f>IF(IFERROR(VLOOKUP(A76,'Projets'!$A$8:$Z$67,7,FALSE),"")="Engager",1,0)</f>
        <v>0</v>
      </c>
      <c r="T76" t="n">
        <f>IF(OR(Charges!F76="",AND(ISNUMBER(Charges!F76),Charges!F76&gt;=0),Charges!F76="S",Charges!F76="M",Charges!F76="L",Charges!F76="XL"),0,1)+IF(OR(Charges!G76="",AND(ISNUMBER(Charges!G76),Charges!G76&gt;=0),Charges!G76="S",Charges!G76="M",Charges!G76="L",Charges!G76="XL"),0,1)+IF(OR(Charges!H76="",AND(ISNUMBER(Charges!H76),Charges!H76&gt;=0),Charges!H76="S",Charges!H76="M",Charges!H76="L",Charges!H76="XL"),0,1)+IF(OR(Charges!I76="",AND(ISNUMBER(Charges!I76),Charges!I76&gt;=0),Charges!I76="S",Charges!I76="M",Charges!I76="L",Charges!I76="XL"),0,1)+IF(OR(Charges!J76="",AND(ISNUMBER(Charges!J76),Charges!J76&gt;=0),Charges!J76="S",Charges!J76="M",Charges!J76="L",Charges!J76="XL"),0,1)+IF(OR(Charges!K76="",AND(ISNUMBER(Charges!K76),Charges!K76&gt;=0),Charges!K76="S",Charges!K76="M",Charges!K76="L",Charges!K76="XL"),0,1)+IF(OR(Charges!L76="",AND(ISNUMBER(Charges!L76),Charges!L76&gt;=0),Charges!L76="S",Charges!L76="M",Charges!L76="L",Charges!L76="XL"),0,1)+IF(OR(Charges!M76="",AND(ISNUMBER(Charges!M76),Charges!M76&gt;=0),Charges!M76="S",Charges!M76="M",Charges!M76="L",Charges!M76="XL"),0,1)+IF(OR(Charges!N76="",AND(ISNUMBER(Charges!N76),Charges!N76&gt;=0),Charges!N76="S",Charges!N76="M",Charges!N76="L",Charges!N76="XL"),0,1)+IF(OR(Charges!O76="",AND(ISNUMBER(Charges!O76),Charges!O76&gt;=0),Charges!O76="S",Charges!O76="M",Charges!O76="L",Charges!O76="XL"),0,1)+IF(OR(Charges!P76="",AND(ISNUMBER(Charges!P76),Charges!P76&gt;=0),Charges!P76="S",Charges!P76="M",Charges!P76="L",Charges!P76="XL"),0,1)+IF(OR(Charges!Q76="",AND(ISNUMBER(Charges!Q76),Charges!Q76&gt;=0),Charges!Q76="S",Charges!Q76="M",Charges!Q76="L",Charges!Q76="XL"),0,1)+IF(OR(Charges!R76="",AND(ISNUMBER(Charges!R76),Charges!R76&gt;=0),Charges!R76="S",Charges!R76="M",Charges!R76="L",Charges!R76="XL"),0,1)</f>
        <v>0</v>
      </c>
      <c r="U76" t="n">
        <f>IF(AND(1&gt;Paramètres!$B$9,Charges!F76&lt;&gt;"",Charges!F76&lt;&gt;0),1,0)+IF(AND(2&gt;Paramètres!$B$9,Charges!G76&lt;&gt;"",Charges!G76&lt;&gt;0),1,0)+IF(AND(3&gt;Paramètres!$B$9,Charges!H76&lt;&gt;"",Charges!H76&lt;&gt;0),1,0)+IF(AND(4&gt;Paramètres!$B$9,Charges!I76&lt;&gt;"",Charges!I76&lt;&gt;0),1,0)+IF(AND(5&gt;Paramètres!$B$9,Charges!J76&lt;&gt;"",Charges!J76&lt;&gt;0),1,0)+IF(AND(6&gt;Paramètres!$B$9,Charges!K76&lt;&gt;"",Charges!K76&lt;&gt;0),1,0)+IF(AND(7&gt;Paramètres!$B$9,Charges!L76&lt;&gt;"",Charges!L76&lt;&gt;0),1,0)+IF(AND(8&gt;Paramètres!$B$9,Charges!M76&lt;&gt;"",Charges!M76&lt;&gt;0),1,0)+IF(AND(9&gt;Paramètres!$B$9,Charges!N76&lt;&gt;"",Charges!N76&lt;&gt;0),1,0)+IF(AND(10&gt;Paramètres!$B$9,Charges!O76&lt;&gt;"",Charges!O76&lt;&gt;0),1,0)+IF(AND(11&gt;Paramètres!$B$9,Charges!P76&lt;&gt;"",Charges!P76&lt;&gt;0),1,0)+IF(AND(12&gt;Paramètres!$B$9,Charges!Q76&lt;&gt;"",Charges!Q76&lt;&gt;0),1,0)+IF(AND(13&gt;Paramètres!$B$9,Charges!R76&lt;&gt;"",Charges!R76&lt;&gt;0),1,0)</f>
        <v>0</v>
      </c>
      <c r="V76" t="n">
        <f>IF(IFERROR(VLOOKUP(A76,'Projets'!$A$8:$Z$67,5,FALSE),"")="Engager",1,0)</f>
        <v>0</v>
      </c>
      <c r="W76" t="n">
        <f>IF(IFERROR(VLOOKUP(A76,'Projets'!$A$8:$Z$67,6,FALSE),"")="Engager",1,0)</f>
        <v>0</v>
      </c>
      <c r="X76" t="n">
        <f>E76*S76</f>
        <v>0</v>
      </c>
      <c r="Y76" t="n">
        <f>F76*S76</f>
        <v>0</v>
      </c>
      <c r="Z76" t="n">
        <f>G76*S76</f>
        <v>0</v>
      </c>
      <c r="AA76" t="n">
        <f>H76*S76</f>
        <v>0</v>
      </c>
      <c r="AB76" t="n">
        <f>I76*S76</f>
        <v>0</v>
      </c>
      <c r="AC76" t="n">
        <f>J76*S76</f>
        <v>0</v>
      </c>
      <c r="AD76" t="n">
        <f>K76*S76</f>
        <v>0</v>
      </c>
      <c r="AE76" t="n">
        <f>L76*S76</f>
        <v>0</v>
      </c>
      <c r="AF76" t="n">
        <f>M76*S76</f>
        <v>0</v>
      </c>
      <c r="AG76" t="n">
        <f>N76*S76</f>
        <v>0</v>
      </c>
      <c r="AH76" t="n">
        <f>O76*S76</f>
        <v>0</v>
      </c>
      <c r="AI76" t="n">
        <f>P76*S76</f>
        <v>0</v>
      </c>
      <c r="AJ76" t="n">
        <f>Q76*S76</f>
        <v>0</v>
      </c>
      <c r="AK76" t="n">
        <f>E76*V76</f>
        <v>0</v>
      </c>
      <c r="AL76" t="n">
        <f>F76*V76</f>
        <v>0</v>
      </c>
      <c r="AM76" t="n">
        <f>G76*V76</f>
        <v>0</v>
      </c>
      <c r="AN76" t="n">
        <f>H76*V76</f>
        <v>0</v>
      </c>
      <c r="AO76" t="n">
        <f>I76*V76</f>
        <v>0</v>
      </c>
      <c r="AP76" t="n">
        <f>J76*V76</f>
        <v>0</v>
      </c>
      <c r="AQ76" t="n">
        <f>K76*V76</f>
        <v>0</v>
      </c>
      <c r="AR76" t="n">
        <f>L76*V76</f>
        <v>0</v>
      </c>
      <c r="AS76" t="n">
        <f>M76*V76</f>
        <v>0</v>
      </c>
      <c r="AT76" t="n">
        <f>N76*V76</f>
        <v>0</v>
      </c>
      <c r="AU76" t="n">
        <f>O76*V76</f>
        <v>0</v>
      </c>
      <c r="AV76" t="n">
        <f>P76*V76</f>
        <v>0</v>
      </c>
      <c r="AW76" t="n">
        <f>Q76*V76</f>
        <v>0</v>
      </c>
      <c r="AX76" t="n">
        <f>E76*W76</f>
        <v>0</v>
      </c>
      <c r="AY76" t="n">
        <f>F76*W76</f>
        <v>0</v>
      </c>
      <c r="AZ76" t="n">
        <f>G76*W76</f>
        <v>0</v>
      </c>
      <c r="BA76" t="n">
        <f>H76*W76</f>
        <v>0</v>
      </c>
      <c r="BB76" t="n">
        <f>I76*W76</f>
        <v>0</v>
      </c>
      <c r="BC76" t="n">
        <f>J76*W76</f>
        <v>0</v>
      </c>
      <c r="BD76" t="n">
        <f>K76*W76</f>
        <v>0</v>
      </c>
      <c r="BE76" t="n">
        <f>L76*W76</f>
        <v>0</v>
      </c>
      <c r="BF76" t="n">
        <f>M76*W76</f>
        <v>0</v>
      </c>
      <c r="BG76" t="n">
        <f>N76*W76</f>
        <v>0</v>
      </c>
      <c r="BH76" t="n">
        <f>O76*W76</f>
        <v>0</v>
      </c>
      <c r="BI76" t="n">
        <f>P76*W76</f>
        <v>0</v>
      </c>
      <c r="BJ76" t="n">
        <f>Q76*W76</f>
        <v>0</v>
      </c>
    </row>
    <row r="77">
      <c r="A77" t="n">
        <f>Charges!A77</f>
        <v>0</v>
      </c>
      <c r="B77" t="n">
        <f>Charges!C77</f>
        <v>0</v>
      </c>
      <c r="C77" t="str">
        <f>Charges!D77</f>
        <v/>
      </c>
      <c r="E77" t="n">
        <f>IF(1&lt;=Paramètres!$B$9,MAX(0,IFERROR(N(IF(ISNUMBER(Charges!F77),MAX(0,Charges!F77),IFERROR(VLOOKUP(Charges!F77,Paramètres!$A$15:$B$18,2,FALSE),0))),0)),0)</f>
        <v>0</v>
      </c>
      <c r="F77" t="n">
        <f>IF(2&lt;=Paramètres!$B$9,MAX(0,IFERROR(N(IF(ISNUMBER(Charges!G77),MAX(0,Charges!G77),IFERROR(VLOOKUP(Charges!G77,Paramètres!$A$15:$B$18,2,FALSE),0))),0)),0)</f>
        <v>0</v>
      </c>
      <c r="G77" t="n">
        <f>IF(3&lt;=Paramètres!$B$9,MAX(0,IFERROR(N(IF(ISNUMBER(Charges!H77),MAX(0,Charges!H77),IFERROR(VLOOKUP(Charges!H77,Paramètres!$A$15:$B$18,2,FALSE),0))),0)),0)</f>
        <v>0</v>
      </c>
      <c r="H77" t="n">
        <f>IF(4&lt;=Paramètres!$B$9,MAX(0,IFERROR(N(IF(ISNUMBER(Charges!I77),MAX(0,Charges!I77),IFERROR(VLOOKUP(Charges!I77,Paramètres!$A$15:$B$18,2,FALSE),0))),0)),0)</f>
        <v>0</v>
      </c>
      <c r="I77" t="n">
        <f>IF(5&lt;=Paramètres!$B$9,MAX(0,IFERROR(N(IF(ISNUMBER(Charges!J77),MAX(0,Charges!J77),IFERROR(VLOOKUP(Charges!J77,Paramètres!$A$15:$B$18,2,FALSE),0))),0)),0)</f>
        <v>0</v>
      </c>
      <c r="J77" t="n">
        <f>IF(6&lt;=Paramètres!$B$9,MAX(0,IFERROR(N(IF(ISNUMBER(Charges!K77),MAX(0,Charges!K77),IFERROR(VLOOKUP(Charges!K77,Paramètres!$A$15:$B$18,2,FALSE),0))),0)),0)</f>
        <v>0</v>
      </c>
      <c r="K77" t="n">
        <f>IF(7&lt;=Paramètres!$B$9,MAX(0,IFERROR(N(IF(ISNUMBER(Charges!L77),MAX(0,Charges!L77),IFERROR(VLOOKUP(Charges!L77,Paramètres!$A$15:$B$18,2,FALSE),0))),0)),0)</f>
        <v>0</v>
      </c>
      <c r="L77" t="n">
        <f>IF(8&lt;=Paramètres!$B$9,MAX(0,IFERROR(N(IF(ISNUMBER(Charges!M77),MAX(0,Charges!M77),IFERROR(VLOOKUP(Charges!M77,Paramètres!$A$15:$B$18,2,FALSE),0))),0)),0)</f>
        <v>0</v>
      </c>
      <c r="M77" t="n">
        <f>IF(9&lt;=Paramètres!$B$9,MAX(0,IFERROR(N(IF(ISNUMBER(Charges!N77),MAX(0,Charges!N77),IFERROR(VLOOKUP(Charges!N77,Paramètres!$A$15:$B$18,2,FALSE),0))),0)),0)</f>
        <v>0</v>
      </c>
      <c r="N77" t="n">
        <f>IF(10&lt;=Paramètres!$B$9,MAX(0,IFERROR(N(IF(ISNUMBER(Charges!O77),MAX(0,Charges!O77),IFERROR(VLOOKUP(Charges!O77,Paramètres!$A$15:$B$18,2,FALSE),0))),0)),0)</f>
        <v>0</v>
      </c>
      <c r="O77" t="n">
        <f>IF(11&lt;=Paramètres!$B$9,MAX(0,IFERROR(N(IF(ISNUMBER(Charges!P77),MAX(0,Charges!P77),IFERROR(VLOOKUP(Charges!P77,Paramètres!$A$15:$B$18,2,FALSE),0))),0)),0)</f>
        <v>0</v>
      </c>
      <c r="P77" t="n">
        <f>IF(12&lt;=Paramètres!$B$9,MAX(0,IFERROR(N(IF(ISNUMBER(Charges!Q77),MAX(0,Charges!Q77),IFERROR(VLOOKUP(Charges!Q77,Paramètres!$A$15:$B$18,2,FALSE),0))),0)),0)</f>
        <v>0</v>
      </c>
      <c r="Q77" t="n">
        <f>IF(13&lt;=Paramètres!$B$9,MAX(0,IFERROR(N(IF(ISNUMBER(Charges!R77),MAX(0,Charges!R77),IFERROR(VLOOKUP(Charges!R77,Paramètres!$A$15:$B$18,2,FALSE),0))),0)),0)</f>
        <v>0</v>
      </c>
      <c r="R77" t="n">
        <f>SUM(E77:Q77)</f>
        <v>0</v>
      </c>
      <c r="S77" t="n">
        <f>IF(IFERROR(VLOOKUP(A77,'Projets'!$A$8:$Z$67,7,FALSE),"")="Engager",1,0)</f>
        <v>0</v>
      </c>
      <c r="T77" t="n">
        <f>IF(OR(Charges!F77="",AND(ISNUMBER(Charges!F77),Charges!F77&gt;=0),Charges!F77="S",Charges!F77="M",Charges!F77="L",Charges!F77="XL"),0,1)+IF(OR(Charges!G77="",AND(ISNUMBER(Charges!G77),Charges!G77&gt;=0),Charges!G77="S",Charges!G77="M",Charges!G77="L",Charges!G77="XL"),0,1)+IF(OR(Charges!H77="",AND(ISNUMBER(Charges!H77),Charges!H77&gt;=0),Charges!H77="S",Charges!H77="M",Charges!H77="L",Charges!H77="XL"),0,1)+IF(OR(Charges!I77="",AND(ISNUMBER(Charges!I77),Charges!I77&gt;=0),Charges!I77="S",Charges!I77="M",Charges!I77="L",Charges!I77="XL"),0,1)+IF(OR(Charges!J77="",AND(ISNUMBER(Charges!J77),Charges!J77&gt;=0),Charges!J77="S",Charges!J77="M",Charges!J77="L",Charges!J77="XL"),0,1)+IF(OR(Charges!K77="",AND(ISNUMBER(Charges!K77),Charges!K77&gt;=0),Charges!K77="S",Charges!K77="M",Charges!K77="L",Charges!K77="XL"),0,1)+IF(OR(Charges!L77="",AND(ISNUMBER(Charges!L77),Charges!L77&gt;=0),Charges!L77="S",Charges!L77="M",Charges!L77="L",Charges!L77="XL"),0,1)+IF(OR(Charges!M77="",AND(ISNUMBER(Charges!M77),Charges!M77&gt;=0),Charges!M77="S",Charges!M77="M",Charges!M77="L",Charges!M77="XL"),0,1)+IF(OR(Charges!N77="",AND(ISNUMBER(Charges!N77),Charges!N77&gt;=0),Charges!N77="S",Charges!N77="M",Charges!N77="L",Charges!N77="XL"),0,1)+IF(OR(Charges!O77="",AND(ISNUMBER(Charges!O77),Charges!O77&gt;=0),Charges!O77="S",Charges!O77="M",Charges!O77="L",Charges!O77="XL"),0,1)+IF(OR(Charges!P77="",AND(ISNUMBER(Charges!P77),Charges!P77&gt;=0),Charges!P77="S",Charges!P77="M",Charges!P77="L",Charges!P77="XL"),0,1)+IF(OR(Charges!Q77="",AND(ISNUMBER(Charges!Q77),Charges!Q77&gt;=0),Charges!Q77="S",Charges!Q77="M",Charges!Q77="L",Charges!Q77="XL"),0,1)+IF(OR(Charges!R77="",AND(ISNUMBER(Charges!R77),Charges!R77&gt;=0),Charges!R77="S",Charges!R77="M",Charges!R77="L",Charges!R77="XL"),0,1)</f>
        <v>0</v>
      </c>
      <c r="U77" t="n">
        <f>IF(AND(1&gt;Paramètres!$B$9,Charges!F77&lt;&gt;"",Charges!F77&lt;&gt;0),1,0)+IF(AND(2&gt;Paramètres!$B$9,Charges!G77&lt;&gt;"",Charges!G77&lt;&gt;0),1,0)+IF(AND(3&gt;Paramètres!$B$9,Charges!H77&lt;&gt;"",Charges!H77&lt;&gt;0),1,0)+IF(AND(4&gt;Paramètres!$B$9,Charges!I77&lt;&gt;"",Charges!I77&lt;&gt;0),1,0)+IF(AND(5&gt;Paramètres!$B$9,Charges!J77&lt;&gt;"",Charges!J77&lt;&gt;0),1,0)+IF(AND(6&gt;Paramètres!$B$9,Charges!K77&lt;&gt;"",Charges!K77&lt;&gt;0),1,0)+IF(AND(7&gt;Paramètres!$B$9,Charges!L77&lt;&gt;"",Charges!L77&lt;&gt;0),1,0)+IF(AND(8&gt;Paramètres!$B$9,Charges!M77&lt;&gt;"",Charges!M77&lt;&gt;0),1,0)+IF(AND(9&gt;Paramètres!$B$9,Charges!N77&lt;&gt;"",Charges!N77&lt;&gt;0),1,0)+IF(AND(10&gt;Paramètres!$B$9,Charges!O77&lt;&gt;"",Charges!O77&lt;&gt;0),1,0)+IF(AND(11&gt;Paramètres!$B$9,Charges!P77&lt;&gt;"",Charges!P77&lt;&gt;0),1,0)+IF(AND(12&gt;Paramètres!$B$9,Charges!Q77&lt;&gt;"",Charges!Q77&lt;&gt;0),1,0)+IF(AND(13&gt;Paramètres!$B$9,Charges!R77&lt;&gt;"",Charges!R77&lt;&gt;0),1,0)</f>
        <v>0</v>
      </c>
      <c r="V77" t="n">
        <f>IF(IFERROR(VLOOKUP(A77,'Projets'!$A$8:$Z$67,5,FALSE),"")="Engager",1,0)</f>
        <v>0</v>
      </c>
      <c r="W77" t="n">
        <f>IF(IFERROR(VLOOKUP(A77,'Projets'!$A$8:$Z$67,6,FALSE),"")="Engager",1,0)</f>
        <v>0</v>
      </c>
      <c r="X77" t="n">
        <f>E77*S77</f>
        <v>0</v>
      </c>
      <c r="Y77" t="n">
        <f>F77*S77</f>
        <v>0</v>
      </c>
      <c r="Z77" t="n">
        <f>G77*S77</f>
        <v>0</v>
      </c>
      <c r="AA77" t="n">
        <f>H77*S77</f>
        <v>0</v>
      </c>
      <c r="AB77" t="n">
        <f>I77*S77</f>
        <v>0</v>
      </c>
      <c r="AC77" t="n">
        <f>J77*S77</f>
        <v>0</v>
      </c>
      <c r="AD77" t="n">
        <f>K77*S77</f>
        <v>0</v>
      </c>
      <c r="AE77" t="n">
        <f>L77*S77</f>
        <v>0</v>
      </c>
      <c r="AF77" t="n">
        <f>M77*S77</f>
        <v>0</v>
      </c>
      <c r="AG77" t="n">
        <f>N77*S77</f>
        <v>0</v>
      </c>
      <c r="AH77" t="n">
        <f>O77*S77</f>
        <v>0</v>
      </c>
      <c r="AI77" t="n">
        <f>P77*S77</f>
        <v>0</v>
      </c>
      <c r="AJ77" t="n">
        <f>Q77*S77</f>
        <v>0</v>
      </c>
      <c r="AK77" t="n">
        <f>E77*V77</f>
        <v>0</v>
      </c>
      <c r="AL77" t="n">
        <f>F77*V77</f>
        <v>0</v>
      </c>
      <c r="AM77" t="n">
        <f>G77*V77</f>
        <v>0</v>
      </c>
      <c r="AN77" t="n">
        <f>H77*V77</f>
        <v>0</v>
      </c>
      <c r="AO77" t="n">
        <f>I77*V77</f>
        <v>0</v>
      </c>
      <c r="AP77" t="n">
        <f>J77*V77</f>
        <v>0</v>
      </c>
      <c r="AQ77" t="n">
        <f>K77*V77</f>
        <v>0</v>
      </c>
      <c r="AR77" t="n">
        <f>L77*V77</f>
        <v>0</v>
      </c>
      <c r="AS77" t="n">
        <f>M77*V77</f>
        <v>0</v>
      </c>
      <c r="AT77" t="n">
        <f>N77*V77</f>
        <v>0</v>
      </c>
      <c r="AU77" t="n">
        <f>O77*V77</f>
        <v>0</v>
      </c>
      <c r="AV77" t="n">
        <f>P77*V77</f>
        <v>0</v>
      </c>
      <c r="AW77" t="n">
        <f>Q77*V77</f>
        <v>0</v>
      </c>
      <c r="AX77" t="n">
        <f>E77*W77</f>
        <v>0</v>
      </c>
      <c r="AY77" t="n">
        <f>F77*W77</f>
        <v>0</v>
      </c>
      <c r="AZ77" t="n">
        <f>G77*W77</f>
        <v>0</v>
      </c>
      <c r="BA77" t="n">
        <f>H77*W77</f>
        <v>0</v>
      </c>
      <c r="BB77" t="n">
        <f>I77*W77</f>
        <v>0</v>
      </c>
      <c r="BC77" t="n">
        <f>J77*W77</f>
        <v>0</v>
      </c>
      <c r="BD77" t="n">
        <f>K77*W77</f>
        <v>0</v>
      </c>
      <c r="BE77" t="n">
        <f>L77*W77</f>
        <v>0</v>
      </c>
      <c r="BF77" t="n">
        <f>M77*W77</f>
        <v>0</v>
      </c>
      <c r="BG77" t="n">
        <f>N77*W77</f>
        <v>0</v>
      </c>
      <c r="BH77" t="n">
        <f>O77*W77</f>
        <v>0</v>
      </c>
      <c r="BI77" t="n">
        <f>P77*W77</f>
        <v>0</v>
      </c>
      <c r="BJ77" t="n">
        <f>Q77*W77</f>
        <v>0</v>
      </c>
    </row>
    <row r="78">
      <c r="A78" t="n">
        <f>Charges!A78</f>
        <v>0</v>
      </c>
      <c r="B78" t="n">
        <f>Charges!C78</f>
        <v>0</v>
      </c>
      <c r="C78" t="str">
        <f>Charges!D78</f>
        <v/>
      </c>
      <c r="E78" t="n">
        <f>IF(1&lt;=Paramètres!$B$9,MAX(0,IFERROR(N(IF(ISNUMBER(Charges!F78),MAX(0,Charges!F78),IFERROR(VLOOKUP(Charges!F78,Paramètres!$A$15:$B$18,2,FALSE),0))),0)),0)</f>
        <v>0</v>
      </c>
      <c r="F78" t="n">
        <f>IF(2&lt;=Paramètres!$B$9,MAX(0,IFERROR(N(IF(ISNUMBER(Charges!G78),MAX(0,Charges!G78),IFERROR(VLOOKUP(Charges!G78,Paramètres!$A$15:$B$18,2,FALSE),0))),0)),0)</f>
        <v>0</v>
      </c>
      <c r="G78" t="n">
        <f>IF(3&lt;=Paramètres!$B$9,MAX(0,IFERROR(N(IF(ISNUMBER(Charges!H78),MAX(0,Charges!H78),IFERROR(VLOOKUP(Charges!H78,Paramètres!$A$15:$B$18,2,FALSE),0))),0)),0)</f>
        <v>0</v>
      </c>
      <c r="H78" t="n">
        <f>IF(4&lt;=Paramètres!$B$9,MAX(0,IFERROR(N(IF(ISNUMBER(Charges!I78),MAX(0,Charges!I78),IFERROR(VLOOKUP(Charges!I78,Paramètres!$A$15:$B$18,2,FALSE),0))),0)),0)</f>
        <v>0</v>
      </c>
      <c r="I78" t="n">
        <f>IF(5&lt;=Paramètres!$B$9,MAX(0,IFERROR(N(IF(ISNUMBER(Charges!J78),MAX(0,Charges!J78),IFERROR(VLOOKUP(Charges!J78,Paramètres!$A$15:$B$18,2,FALSE),0))),0)),0)</f>
        <v>0</v>
      </c>
      <c r="J78" t="n">
        <f>IF(6&lt;=Paramètres!$B$9,MAX(0,IFERROR(N(IF(ISNUMBER(Charges!K78),MAX(0,Charges!K78),IFERROR(VLOOKUP(Charges!K78,Paramètres!$A$15:$B$18,2,FALSE),0))),0)),0)</f>
        <v>0</v>
      </c>
      <c r="K78" t="n">
        <f>IF(7&lt;=Paramètres!$B$9,MAX(0,IFERROR(N(IF(ISNUMBER(Charges!L78),MAX(0,Charges!L78),IFERROR(VLOOKUP(Charges!L78,Paramètres!$A$15:$B$18,2,FALSE),0))),0)),0)</f>
        <v>0</v>
      </c>
      <c r="L78" t="n">
        <f>IF(8&lt;=Paramètres!$B$9,MAX(0,IFERROR(N(IF(ISNUMBER(Charges!M78),MAX(0,Charges!M78),IFERROR(VLOOKUP(Charges!M78,Paramètres!$A$15:$B$18,2,FALSE),0))),0)),0)</f>
        <v>0</v>
      </c>
      <c r="M78" t="n">
        <f>IF(9&lt;=Paramètres!$B$9,MAX(0,IFERROR(N(IF(ISNUMBER(Charges!N78),MAX(0,Charges!N78),IFERROR(VLOOKUP(Charges!N78,Paramètres!$A$15:$B$18,2,FALSE),0))),0)),0)</f>
        <v>0</v>
      </c>
      <c r="N78" t="n">
        <f>IF(10&lt;=Paramètres!$B$9,MAX(0,IFERROR(N(IF(ISNUMBER(Charges!O78),MAX(0,Charges!O78),IFERROR(VLOOKUP(Charges!O78,Paramètres!$A$15:$B$18,2,FALSE),0))),0)),0)</f>
        <v>0</v>
      </c>
      <c r="O78" t="n">
        <f>IF(11&lt;=Paramètres!$B$9,MAX(0,IFERROR(N(IF(ISNUMBER(Charges!P78),MAX(0,Charges!P78),IFERROR(VLOOKUP(Charges!P78,Paramètres!$A$15:$B$18,2,FALSE),0))),0)),0)</f>
        <v>0</v>
      </c>
      <c r="P78" t="n">
        <f>IF(12&lt;=Paramètres!$B$9,MAX(0,IFERROR(N(IF(ISNUMBER(Charges!Q78),MAX(0,Charges!Q78),IFERROR(VLOOKUP(Charges!Q78,Paramètres!$A$15:$B$18,2,FALSE),0))),0)),0)</f>
        <v>0</v>
      </c>
      <c r="Q78" t="n">
        <f>IF(13&lt;=Paramètres!$B$9,MAX(0,IFERROR(N(IF(ISNUMBER(Charges!R78),MAX(0,Charges!R78),IFERROR(VLOOKUP(Charges!R78,Paramètres!$A$15:$B$18,2,FALSE),0))),0)),0)</f>
        <v>0</v>
      </c>
      <c r="R78" t="n">
        <f>SUM(E78:Q78)</f>
        <v>0</v>
      </c>
      <c r="S78" t="n">
        <f>IF(IFERROR(VLOOKUP(A78,'Projets'!$A$8:$Z$67,7,FALSE),"")="Engager",1,0)</f>
        <v>0</v>
      </c>
      <c r="T78" t="n">
        <f>IF(OR(Charges!F78="",AND(ISNUMBER(Charges!F78),Charges!F78&gt;=0),Charges!F78="S",Charges!F78="M",Charges!F78="L",Charges!F78="XL"),0,1)+IF(OR(Charges!G78="",AND(ISNUMBER(Charges!G78),Charges!G78&gt;=0),Charges!G78="S",Charges!G78="M",Charges!G78="L",Charges!G78="XL"),0,1)+IF(OR(Charges!H78="",AND(ISNUMBER(Charges!H78),Charges!H78&gt;=0),Charges!H78="S",Charges!H78="M",Charges!H78="L",Charges!H78="XL"),0,1)+IF(OR(Charges!I78="",AND(ISNUMBER(Charges!I78),Charges!I78&gt;=0),Charges!I78="S",Charges!I78="M",Charges!I78="L",Charges!I78="XL"),0,1)+IF(OR(Charges!J78="",AND(ISNUMBER(Charges!J78),Charges!J78&gt;=0),Charges!J78="S",Charges!J78="M",Charges!J78="L",Charges!J78="XL"),0,1)+IF(OR(Charges!K78="",AND(ISNUMBER(Charges!K78),Charges!K78&gt;=0),Charges!K78="S",Charges!K78="M",Charges!K78="L",Charges!K78="XL"),0,1)+IF(OR(Charges!L78="",AND(ISNUMBER(Charges!L78),Charges!L78&gt;=0),Charges!L78="S",Charges!L78="M",Charges!L78="L",Charges!L78="XL"),0,1)+IF(OR(Charges!M78="",AND(ISNUMBER(Charges!M78),Charges!M78&gt;=0),Charges!M78="S",Charges!M78="M",Charges!M78="L",Charges!M78="XL"),0,1)+IF(OR(Charges!N78="",AND(ISNUMBER(Charges!N78),Charges!N78&gt;=0),Charges!N78="S",Charges!N78="M",Charges!N78="L",Charges!N78="XL"),0,1)+IF(OR(Charges!O78="",AND(ISNUMBER(Charges!O78),Charges!O78&gt;=0),Charges!O78="S",Charges!O78="M",Charges!O78="L",Charges!O78="XL"),0,1)+IF(OR(Charges!P78="",AND(ISNUMBER(Charges!P78),Charges!P78&gt;=0),Charges!P78="S",Charges!P78="M",Charges!P78="L",Charges!P78="XL"),0,1)+IF(OR(Charges!Q78="",AND(ISNUMBER(Charges!Q78),Charges!Q78&gt;=0),Charges!Q78="S",Charges!Q78="M",Charges!Q78="L",Charges!Q78="XL"),0,1)+IF(OR(Charges!R78="",AND(ISNUMBER(Charges!R78),Charges!R78&gt;=0),Charges!R78="S",Charges!R78="M",Charges!R78="L",Charges!R78="XL"),0,1)</f>
        <v>0</v>
      </c>
      <c r="U78" t="n">
        <f>IF(AND(1&gt;Paramètres!$B$9,Charges!F78&lt;&gt;"",Charges!F78&lt;&gt;0),1,0)+IF(AND(2&gt;Paramètres!$B$9,Charges!G78&lt;&gt;"",Charges!G78&lt;&gt;0),1,0)+IF(AND(3&gt;Paramètres!$B$9,Charges!H78&lt;&gt;"",Charges!H78&lt;&gt;0),1,0)+IF(AND(4&gt;Paramètres!$B$9,Charges!I78&lt;&gt;"",Charges!I78&lt;&gt;0),1,0)+IF(AND(5&gt;Paramètres!$B$9,Charges!J78&lt;&gt;"",Charges!J78&lt;&gt;0),1,0)+IF(AND(6&gt;Paramètres!$B$9,Charges!K78&lt;&gt;"",Charges!K78&lt;&gt;0),1,0)+IF(AND(7&gt;Paramètres!$B$9,Charges!L78&lt;&gt;"",Charges!L78&lt;&gt;0),1,0)+IF(AND(8&gt;Paramètres!$B$9,Charges!M78&lt;&gt;"",Charges!M78&lt;&gt;0),1,0)+IF(AND(9&gt;Paramètres!$B$9,Charges!N78&lt;&gt;"",Charges!N78&lt;&gt;0),1,0)+IF(AND(10&gt;Paramètres!$B$9,Charges!O78&lt;&gt;"",Charges!O78&lt;&gt;0),1,0)+IF(AND(11&gt;Paramètres!$B$9,Charges!P78&lt;&gt;"",Charges!P78&lt;&gt;0),1,0)+IF(AND(12&gt;Paramètres!$B$9,Charges!Q78&lt;&gt;"",Charges!Q78&lt;&gt;0),1,0)+IF(AND(13&gt;Paramètres!$B$9,Charges!R78&lt;&gt;"",Charges!R78&lt;&gt;0),1,0)</f>
        <v>0</v>
      </c>
      <c r="V78" t="n">
        <f>IF(IFERROR(VLOOKUP(A78,'Projets'!$A$8:$Z$67,5,FALSE),"")="Engager",1,0)</f>
        <v>0</v>
      </c>
      <c r="W78" t="n">
        <f>IF(IFERROR(VLOOKUP(A78,'Projets'!$A$8:$Z$67,6,FALSE),"")="Engager",1,0)</f>
        <v>0</v>
      </c>
      <c r="X78" t="n">
        <f>E78*S78</f>
        <v>0</v>
      </c>
      <c r="Y78" t="n">
        <f>F78*S78</f>
        <v>0</v>
      </c>
      <c r="Z78" t="n">
        <f>G78*S78</f>
        <v>0</v>
      </c>
      <c r="AA78" t="n">
        <f>H78*S78</f>
        <v>0</v>
      </c>
      <c r="AB78" t="n">
        <f>I78*S78</f>
        <v>0</v>
      </c>
      <c r="AC78" t="n">
        <f>J78*S78</f>
        <v>0</v>
      </c>
      <c r="AD78" t="n">
        <f>K78*S78</f>
        <v>0</v>
      </c>
      <c r="AE78" t="n">
        <f>L78*S78</f>
        <v>0</v>
      </c>
      <c r="AF78" t="n">
        <f>M78*S78</f>
        <v>0</v>
      </c>
      <c r="AG78" t="n">
        <f>N78*S78</f>
        <v>0</v>
      </c>
      <c r="AH78" t="n">
        <f>O78*S78</f>
        <v>0</v>
      </c>
      <c r="AI78" t="n">
        <f>P78*S78</f>
        <v>0</v>
      </c>
      <c r="AJ78" t="n">
        <f>Q78*S78</f>
        <v>0</v>
      </c>
      <c r="AK78" t="n">
        <f>E78*V78</f>
        <v>0</v>
      </c>
      <c r="AL78" t="n">
        <f>F78*V78</f>
        <v>0</v>
      </c>
      <c r="AM78" t="n">
        <f>G78*V78</f>
        <v>0</v>
      </c>
      <c r="AN78" t="n">
        <f>H78*V78</f>
        <v>0</v>
      </c>
      <c r="AO78" t="n">
        <f>I78*V78</f>
        <v>0</v>
      </c>
      <c r="AP78" t="n">
        <f>J78*V78</f>
        <v>0</v>
      </c>
      <c r="AQ78" t="n">
        <f>K78*V78</f>
        <v>0</v>
      </c>
      <c r="AR78" t="n">
        <f>L78*V78</f>
        <v>0</v>
      </c>
      <c r="AS78" t="n">
        <f>M78*V78</f>
        <v>0</v>
      </c>
      <c r="AT78" t="n">
        <f>N78*V78</f>
        <v>0</v>
      </c>
      <c r="AU78" t="n">
        <f>O78*V78</f>
        <v>0</v>
      </c>
      <c r="AV78" t="n">
        <f>P78*V78</f>
        <v>0</v>
      </c>
      <c r="AW78" t="n">
        <f>Q78*V78</f>
        <v>0</v>
      </c>
      <c r="AX78" t="n">
        <f>E78*W78</f>
        <v>0</v>
      </c>
      <c r="AY78" t="n">
        <f>F78*W78</f>
        <v>0</v>
      </c>
      <c r="AZ78" t="n">
        <f>G78*W78</f>
        <v>0</v>
      </c>
      <c r="BA78" t="n">
        <f>H78*W78</f>
        <v>0</v>
      </c>
      <c r="BB78" t="n">
        <f>I78*W78</f>
        <v>0</v>
      </c>
      <c r="BC78" t="n">
        <f>J78*W78</f>
        <v>0</v>
      </c>
      <c r="BD78" t="n">
        <f>K78*W78</f>
        <v>0</v>
      </c>
      <c r="BE78" t="n">
        <f>L78*W78</f>
        <v>0</v>
      </c>
      <c r="BF78" t="n">
        <f>M78*W78</f>
        <v>0</v>
      </c>
      <c r="BG78" t="n">
        <f>N78*W78</f>
        <v>0</v>
      </c>
      <c r="BH78" t="n">
        <f>O78*W78</f>
        <v>0</v>
      </c>
      <c r="BI78" t="n">
        <f>P78*W78</f>
        <v>0</v>
      </c>
      <c r="BJ78" t="n">
        <f>Q78*W78</f>
        <v>0</v>
      </c>
    </row>
    <row r="79">
      <c r="A79" t="n">
        <f>Charges!A79</f>
        <v>0</v>
      </c>
      <c r="B79" t="n">
        <f>Charges!C79</f>
        <v>0</v>
      </c>
      <c r="C79" t="str">
        <f>Charges!D79</f>
        <v/>
      </c>
      <c r="E79" t="n">
        <f>IF(1&lt;=Paramètres!$B$9,MAX(0,IFERROR(N(IF(ISNUMBER(Charges!F79),MAX(0,Charges!F79),IFERROR(VLOOKUP(Charges!F79,Paramètres!$A$15:$B$18,2,FALSE),0))),0)),0)</f>
        <v>0</v>
      </c>
      <c r="F79" t="n">
        <f>IF(2&lt;=Paramètres!$B$9,MAX(0,IFERROR(N(IF(ISNUMBER(Charges!G79),MAX(0,Charges!G79),IFERROR(VLOOKUP(Charges!G79,Paramètres!$A$15:$B$18,2,FALSE),0))),0)),0)</f>
        <v>0</v>
      </c>
      <c r="G79" t="n">
        <f>IF(3&lt;=Paramètres!$B$9,MAX(0,IFERROR(N(IF(ISNUMBER(Charges!H79),MAX(0,Charges!H79),IFERROR(VLOOKUP(Charges!H79,Paramètres!$A$15:$B$18,2,FALSE),0))),0)),0)</f>
        <v>0</v>
      </c>
      <c r="H79" t="n">
        <f>IF(4&lt;=Paramètres!$B$9,MAX(0,IFERROR(N(IF(ISNUMBER(Charges!I79),MAX(0,Charges!I79),IFERROR(VLOOKUP(Charges!I79,Paramètres!$A$15:$B$18,2,FALSE),0))),0)),0)</f>
        <v>0</v>
      </c>
      <c r="I79" t="n">
        <f>IF(5&lt;=Paramètres!$B$9,MAX(0,IFERROR(N(IF(ISNUMBER(Charges!J79),MAX(0,Charges!J79),IFERROR(VLOOKUP(Charges!J79,Paramètres!$A$15:$B$18,2,FALSE),0))),0)),0)</f>
        <v>0</v>
      </c>
      <c r="J79" t="n">
        <f>IF(6&lt;=Paramètres!$B$9,MAX(0,IFERROR(N(IF(ISNUMBER(Charges!K79),MAX(0,Charges!K79),IFERROR(VLOOKUP(Charges!K79,Paramètres!$A$15:$B$18,2,FALSE),0))),0)),0)</f>
        <v>0</v>
      </c>
      <c r="K79" t="n">
        <f>IF(7&lt;=Paramètres!$B$9,MAX(0,IFERROR(N(IF(ISNUMBER(Charges!L79),MAX(0,Charges!L79),IFERROR(VLOOKUP(Charges!L79,Paramètres!$A$15:$B$18,2,FALSE),0))),0)),0)</f>
        <v>0</v>
      </c>
      <c r="L79" t="n">
        <f>IF(8&lt;=Paramètres!$B$9,MAX(0,IFERROR(N(IF(ISNUMBER(Charges!M79),MAX(0,Charges!M79),IFERROR(VLOOKUP(Charges!M79,Paramètres!$A$15:$B$18,2,FALSE),0))),0)),0)</f>
        <v>0</v>
      </c>
      <c r="M79" t="n">
        <f>IF(9&lt;=Paramètres!$B$9,MAX(0,IFERROR(N(IF(ISNUMBER(Charges!N79),MAX(0,Charges!N79),IFERROR(VLOOKUP(Charges!N79,Paramètres!$A$15:$B$18,2,FALSE),0))),0)),0)</f>
        <v>0</v>
      </c>
      <c r="N79" t="n">
        <f>IF(10&lt;=Paramètres!$B$9,MAX(0,IFERROR(N(IF(ISNUMBER(Charges!O79),MAX(0,Charges!O79),IFERROR(VLOOKUP(Charges!O79,Paramètres!$A$15:$B$18,2,FALSE),0))),0)),0)</f>
        <v>0</v>
      </c>
      <c r="O79" t="n">
        <f>IF(11&lt;=Paramètres!$B$9,MAX(0,IFERROR(N(IF(ISNUMBER(Charges!P79),MAX(0,Charges!P79),IFERROR(VLOOKUP(Charges!P79,Paramètres!$A$15:$B$18,2,FALSE),0))),0)),0)</f>
        <v>0</v>
      </c>
      <c r="P79" t="n">
        <f>IF(12&lt;=Paramètres!$B$9,MAX(0,IFERROR(N(IF(ISNUMBER(Charges!Q79),MAX(0,Charges!Q79),IFERROR(VLOOKUP(Charges!Q79,Paramètres!$A$15:$B$18,2,FALSE),0))),0)),0)</f>
        <v>0</v>
      </c>
      <c r="Q79" t="n">
        <f>IF(13&lt;=Paramètres!$B$9,MAX(0,IFERROR(N(IF(ISNUMBER(Charges!R79),MAX(0,Charges!R79),IFERROR(VLOOKUP(Charges!R79,Paramètres!$A$15:$B$18,2,FALSE),0))),0)),0)</f>
        <v>0</v>
      </c>
      <c r="R79" t="n">
        <f>SUM(E79:Q79)</f>
        <v>0</v>
      </c>
      <c r="S79" t="n">
        <f>IF(IFERROR(VLOOKUP(A79,'Projets'!$A$8:$Z$67,7,FALSE),"")="Engager",1,0)</f>
        <v>0</v>
      </c>
      <c r="T79" t="n">
        <f>IF(OR(Charges!F79="",AND(ISNUMBER(Charges!F79),Charges!F79&gt;=0),Charges!F79="S",Charges!F79="M",Charges!F79="L",Charges!F79="XL"),0,1)+IF(OR(Charges!G79="",AND(ISNUMBER(Charges!G79),Charges!G79&gt;=0),Charges!G79="S",Charges!G79="M",Charges!G79="L",Charges!G79="XL"),0,1)+IF(OR(Charges!H79="",AND(ISNUMBER(Charges!H79),Charges!H79&gt;=0),Charges!H79="S",Charges!H79="M",Charges!H79="L",Charges!H79="XL"),0,1)+IF(OR(Charges!I79="",AND(ISNUMBER(Charges!I79),Charges!I79&gt;=0),Charges!I79="S",Charges!I79="M",Charges!I79="L",Charges!I79="XL"),0,1)+IF(OR(Charges!J79="",AND(ISNUMBER(Charges!J79),Charges!J79&gt;=0),Charges!J79="S",Charges!J79="M",Charges!J79="L",Charges!J79="XL"),0,1)+IF(OR(Charges!K79="",AND(ISNUMBER(Charges!K79),Charges!K79&gt;=0),Charges!K79="S",Charges!K79="M",Charges!K79="L",Charges!K79="XL"),0,1)+IF(OR(Charges!L79="",AND(ISNUMBER(Charges!L79),Charges!L79&gt;=0),Charges!L79="S",Charges!L79="M",Charges!L79="L",Charges!L79="XL"),0,1)+IF(OR(Charges!M79="",AND(ISNUMBER(Charges!M79),Charges!M79&gt;=0),Charges!M79="S",Charges!M79="M",Charges!M79="L",Charges!M79="XL"),0,1)+IF(OR(Charges!N79="",AND(ISNUMBER(Charges!N79),Charges!N79&gt;=0),Charges!N79="S",Charges!N79="M",Charges!N79="L",Charges!N79="XL"),0,1)+IF(OR(Charges!O79="",AND(ISNUMBER(Charges!O79),Charges!O79&gt;=0),Charges!O79="S",Charges!O79="M",Charges!O79="L",Charges!O79="XL"),0,1)+IF(OR(Charges!P79="",AND(ISNUMBER(Charges!P79),Charges!P79&gt;=0),Charges!P79="S",Charges!P79="M",Charges!P79="L",Charges!P79="XL"),0,1)+IF(OR(Charges!Q79="",AND(ISNUMBER(Charges!Q79),Charges!Q79&gt;=0),Charges!Q79="S",Charges!Q79="M",Charges!Q79="L",Charges!Q79="XL"),0,1)+IF(OR(Charges!R79="",AND(ISNUMBER(Charges!R79),Charges!R79&gt;=0),Charges!R79="S",Charges!R79="M",Charges!R79="L",Charges!R79="XL"),0,1)</f>
        <v>0</v>
      </c>
      <c r="U79" t="n">
        <f>IF(AND(1&gt;Paramètres!$B$9,Charges!F79&lt;&gt;"",Charges!F79&lt;&gt;0),1,0)+IF(AND(2&gt;Paramètres!$B$9,Charges!G79&lt;&gt;"",Charges!G79&lt;&gt;0),1,0)+IF(AND(3&gt;Paramètres!$B$9,Charges!H79&lt;&gt;"",Charges!H79&lt;&gt;0),1,0)+IF(AND(4&gt;Paramètres!$B$9,Charges!I79&lt;&gt;"",Charges!I79&lt;&gt;0),1,0)+IF(AND(5&gt;Paramètres!$B$9,Charges!J79&lt;&gt;"",Charges!J79&lt;&gt;0),1,0)+IF(AND(6&gt;Paramètres!$B$9,Charges!K79&lt;&gt;"",Charges!K79&lt;&gt;0),1,0)+IF(AND(7&gt;Paramètres!$B$9,Charges!L79&lt;&gt;"",Charges!L79&lt;&gt;0),1,0)+IF(AND(8&gt;Paramètres!$B$9,Charges!M79&lt;&gt;"",Charges!M79&lt;&gt;0),1,0)+IF(AND(9&gt;Paramètres!$B$9,Charges!N79&lt;&gt;"",Charges!N79&lt;&gt;0),1,0)+IF(AND(10&gt;Paramètres!$B$9,Charges!O79&lt;&gt;"",Charges!O79&lt;&gt;0),1,0)+IF(AND(11&gt;Paramètres!$B$9,Charges!P79&lt;&gt;"",Charges!P79&lt;&gt;0),1,0)+IF(AND(12&gt;Paramètres!$B$9,Charges!Q79&lt;&gt;"",Charges!Q79&lt;&gt;0),1,0)+IF(AND(13&gt;Paramètres!$B$9,Charges!R79&lt;&gt;"",Charges!R79&lt;&gt;0),1,0)</f>
        <v>0</v>
      </c>
      <c r="V79" t="n">
        <f>IF(IFERROR(VLOOKUP(A79,'Projets'!$A$8:$Z$67,5,FALSE),"")="Engager",1,0)</f>
        <v>0</v>
      </c>
      <c r="W79" t="n">
        <f>IF(IFERROR(VLOOKUP(A79,'Projets'!$A$8:$Z$67,6,FALSE),"")="Engager",1,0)</f>
        <v>0</v>
      </c>
      <c r="X79" t="n">
        <f>E79*S79</f>
        <v>0</v>
      </c>
      <c r="Y79" t="n">
        <f>F79*S79</f>
        <v>0</v>
      </c>
      <c r="Z79" t="n">
        <f>G79*S79</f>
        <v>0</v>
      </c>
      <c r="AA79" t="n">
        <f>H79*S79</f>
        <v>0</v>
      </c>
      <c r="AB79" t="n">
        <f>I79*S79</f>
        <v>0</v>
      </c>
      <c r="AC79" t="n">
        <f>J79*S79</f>
        <v>0</v>
      </c>
      <c r="AD79" t="n">
        <f>K79*S79</f>
        <v>0</v>
      </c>
      <c r="AE79" t="n">
        <f>L79*S79</f>
        <v>0</v>
      </c>
      <c r="AF79" t="n">
        <f>M79*S79</f>
        <v>0</v>
      </c>
      <c r="AG79" t="n">
        <f>N79*S79</f>
        <v>0</v>
      </c>
      <c r="AH79" t="n">
        <f>O79*S79</f>
        <v>0</v>
      </c>
      <c r="AI79" t="n">
        <f>P79*S79</f>
        <v>0</v>
      </c>
      <c r="AJ79" t="n">
        <f>Q79*S79</f>
        <v>0</v>
      </c>
      <c r="AK79" t="n">
        <f>E79*V79</f>
        <v>0</v>
      </c>
      <c r="AL79" t="n">
        <f>F79*V79</f>
        <v>0</v>
      </c>
      <c r="AM79" t="n">
        <f>G79*V79</f>
        <v>0</v>
      </c>
      <c r="AN79" t="n">
        <f>H79*V79</f>
        <v>0</v>
      </c>
      <c r="AO79" t="n">
        <f>I79*V79</f>
        <v>0</v>
      </c>
      <c r="AP79" t="n">
        <f>J79*V79</f>
        <v>0</v>
      </c>
      <c r="AQ79" t="n">
        <f>K79*V79</f>
        <v>0</v>
      </c>
      <c r="AR79" t="n">
        <f>L79*V79</f>
        <v>0</v>
      </c>
      <c r="AS79" t="n">
        <f>M79*V79</f>
        <v>0</v>
      </c>
      <c r="AT79" t="n">
        <f>N79*V79</f>
        <v>0</v>
      </c>
      <c r="AU79" t="n">
        <f>O79*V79</f>
        <v>0</v>
      </c>
      <c r="AV79" t="n">
        <f>P79*V79</f>
        <v>0</v>
      </c>
      <c r="AW79" t="n">
        <f>Q79*V79</f>
        <v>0</v>
      </c>
      <c r="AX79" t="n">
        <f>E79*W79</f>
        <v>0</v>
      </c>
      <c r="AY79" t="n">
        <f>F79*W79</f>
        <v>0</v>
      </c>
      <c r="AZ79" t="n">
        <f>G79*W79</f>
        <v>0</v>
      </c>
      <c r="BA79" t="n">
        <f>H79*W79</f>
        <v>0</v>
      </c>
      <c r="BB79" t="n">
        <f>I79*W79</f>
        <v>0</v>
      </c>
      <c r="BC79" t="n">
        <f>J79*W79</f>
        <v>0</v>
      </c>
      <c r="BD79" t="n">
        <f>K79*W79</f>
        <v>0</v>
      </c>
      <c r="BE79" t="n">
        <f>L79*W79</f>
        <v>0</v>
      </c>
      <c r="BF79" t="n">
        <f>M79*W79</f>
        <v>0</v>
      </c>
      <c r="BG79" t="n">
        <f>N79*W79</f>
        <v>0</v>
      </c>
      <c r="BH79" t="n">
        <f>O79*W79</f>
        <v>0</v>
      </c>
      <c r="BI79" t="n">
        <f>P79*W79</f>
        <v>0</v>
      </c>
      <c r="BJ79" t="n">
        <f>Q79*W79</f>
        <v>0</v>
      </c>
    </row>
    <row r="80">
      <c r="A80" t="n">
        <f>Charges!A80</f>
        <v>0</v>
      </c>
      <c r="B80" t="n">
        <f>Charges!C80</f>
        <v>0</v>
      </c>
      <c r="C80" t="str">
        <f>Charges!D80</f>
        <v/>
      </c>
      <c r="E80" t="n">
        <f>IF(1&lt;=Paramètres!$B$9,MAX(0,IFERROR(N(IF(ISNUMBER(Charges!F80),MAX(0,Charges!F80),IFERROR(VLOOKUP(Charges!F80,Paramètres!$A$15:$B$18,2,FALSE),0))),0)),0)</f>
        <v>0</v>
      </c>
      <c r="F80" t="n">
        <f>IF(2&lt;=Paramètres!$B$9,MAX(0,IFERROR(N(IF(ISNUMBER(Charges!G80),MAX(0,Charges!G80),IFERROR(VLOOKUP(Charges!G80,Paramètres!$A$15:$B$18,2,FALSE),0))),0)),0)</f>
        <v>0</v>
      </c>
      <c r="G80" t="n">
        <f>IF(3&lt;=Paramètres!$B$9,MAX(0,IFERROR(N(IF(ISNUMBER(Charges!H80),MAX(0,Charges!H80),IFERROR(VLOOKUP(Charges!H80,Paramètres!$A$15:$B$18,2,FALSE),0))),0)),0)</f>
        <v>0</v>
      </c>
      <c r="H80" t="n">
        <f>IF(4&lt;=Paramètres!$B$9,MAX(0,IFERROR(N(IF(ISNUMBER(Charges!I80),MAX(0,Charges!I80),IFERROR(VLOOKUP(Charges!I80,Paramètres!$A$15:$B$18,2,FALSE),0))),0)),0)</f>
        <v>0</v>
      </c>
      <c r="I80" t="n">
        <f>IF(5&lt;=Paramètres!$B$9,MAX(0,IFERROR(N(IF(ISNUMBER(Charges!J80),MAX(0,Charges!J80),IFERROR(VLOOKUP(Charges!J80,Paramètres!$A$15:$B$18,2,FALSE),0))),0)),0)</f>
        <v>0</v>
      </c>
      <c r="J80" t="n">
        <f>IF(6&lt;=Paramètres!$B$9,MAX(0,IFERROR(N(IF(ISNUMBER(Charges!K80),MAX(0,Charges!K80),IFERROR(VLOOKUP(Charges!K80,Paramètres!$A$15:$B$18,2,FALSE),0))),0)),0)</f>
        <v>0</v>
      </c>
      <c r="K80" t="n">
        <f>IF(7&lt;=Paramètres!$B$9,MAX(0,IFERROR(N(IF(ISNUMBER(Charges!L80),MAX(0,Charges!L80),IFERROR(VLOOKUP(Charges!L80,Paramètres!$A$15:$B$18,2,FALSE),0))),0)),0)</f>
        <v>0</v>
      </c>
      <c r="L80" t="n">
        <f>IF(8&lt;=Paramètres!$B$9,MAX(0,IFERROR(N(IF(ISNUMBER(Charges!M80),MAX(0,Charges!M80),IFERROR(VLOOKUP(Charges!M80,Paramètres!$A$15:$B$18,2,FALSE),0))),0)),0)</f>
        <v>0</v>
      </c>
      <c r="M80" t="n">
        <f>IF(9&lt;=Paramètres!$B$9,MAX(0,IFERROR(N(IF(ISNUMBER(Charges!N80),MAX(0,Charges!N80),IFERROR(VLOOKUP(Charges!N80,Paramètres!$A$15:$B$18,2,FALSE),0))),0)),0)</f>
        <v>0</v>
      </c>
      <c r="N80" t="n">
        <f>IF(10&lt;=Paramètres!$B$9,MAX(0,IFERROR(N(IF(ISNUMBER(Charges!O80),MAX(0,Charges!O80),IFERROR(VLOOKUP(Charges!O80,Paramètres!$A$15:$B$18,2,FALSE),0))),0)),0)</f>
        <v>0</v>
      </c>
      <c r="O80" t="n">
        <f>IF(11&lt;=Paramètres!$B$9,MAX(0,IFERROR(N(IF(ISNUMBER(Charges!P80),MAX(0,Charges!P80),IFERROR(VLOOKUP(Charges!P80,Paramètres!$A$15:$B$18,2,FALSE),0))),0)),0)</f>
        <v>0</v>
      </c>
      <c r="P80" t="n">
        <f>IF(12&lt;=Paramètres!$B$9,MAX(0,IFERROR(N(IF(ISNUMBER(Charges!Q80),MAX(0,Charges!Q80),IFERROR(VLOOKUP(Charges!Q80,Paramètres!$A$15:$B$18,2,FALSE),0))),0)),0)</f>
        <v>0</v>
      </c>
      <c r="Q80" t="n">
        <f>IF(13&lt;=Paramètres!$B$9,MAX(0,IFERROR(N(IF(ISNUMBER(Charges!R80),MAX(0,Charges!R80),IFERROR(VLOOKUP(Charges!R80,Paramètres!$A$15:$B$18,2,FALSE),0))),0)),0)</f>
        <v>0</v>
      </c>
      <c r="R80" t="n">
        <f>SUM(E80:Q80)</f>
        <v>0</v>
      </c>
      <c r="S80" t="n">
        <f>IF(IFERROR(VLOOKUP(A80,'Projets'!$A$8:$Z$67,7,FALSE),"")="Engager",1,0)</f>
        <v>0</v>
      </c>
      <c r="T80" t="n">
        <f>IF(OR(Charges!F80="",AND(ISNUMBER(Charges!F80),Charges!F80&gt;=0),Charges!F80="S",Charges!F80="M",Charges!F80="L",Charges!F80="XL"),0,1)+IF(OR(Charges!G80="",AND(ISNUMBER(Charges!G80),Charges!G80&gt;=0),Charges!G80="S",Charges!G80="M",Charges!G80="L",Charges!G80="XL"),0,1)+IF(OR(Charges!H80="",AND(ISNUMBER(Charges!H80),Charges!H80&gt;=0),Charges!H80="S",Charges!H80="M",Charges!H80="L",Charges!H80="XL"),0,1)+IF(OR(Charges!I80="",AND(ISNUMBER(Charges!I80),Charges!I80&gt;=0),Charges!I80="S",Charges!I80="M",Charges!I80="L",Charges!I80="XL"),0,1)+IF(OR(Charges!J80="",AND(ISNUMBER(Charges!J80),Charges!J80&gt;=0),Charges!J80="S",Charges!J80="M",Charges!J80="L",Charges!J80="XL"),0,1)+IF(OR(Charges!K80="",AND(ISNUMBER(Charges!K80),Charges!K80&gt;=0),Charges!K80="S",Charges!K80="M",Charges!K80="L",Charges!K80="XL"),0,1)+IF(OR(Charges!L80="",AND(ISNUMBER(Charges!L80),Charges!L80&gt;=0),Charges!L80="S",Charges!L80="M",Charges!L80="L",Charges!L80="XL"),0,1)+IF(OR(Charges!M80="",AND(ISNUMBER(Charges!M80),Charges!M80&gt;=0),Charges!M80="S",Charges!M80="M",Charges!M80="L",Charges!M80="XL"),0,1)+IF(OR(Charges!N80="",AND(ISNUMBER(Charges!N80),Charges!N80&gt;=0),Charges!N80="S",Charges!N80="M",Charges!N80="L",Charges!N80="XL"),0,1)+IF(OR(Charges!O80="",AND(ISNUMBER(Charges!O80),Charges!O80&gt;=0),Charges!O80="S",Charges!O80="M",Charges!O80="L",Charges!O80="XL"),0,1)+IF(OR(Charges!P80="",AND(ISNUMBER(Charges!P80),Charges!P80&gt;=0),Charges!P80="S",Charges!P80="M",Charges!P80="L",Charges!P80="XL"),0,1)+IF(OR(Charges!Q80="",AND(ISNUMBER(Charges!Q80),Charges!Q80&gt;=0),Charges!Q80="S",Charges!Q80="M",Charges!Q80="L",Charges!Q80="XL"),0,1)+IF(OR(Charges!R80="",AND(ISNUMBER(Charges!R80),Charges!R80&gt;=0),Charges!R80="S",Charges!R80="M",Charges!R80="L",Charges!R80="XL"),0,1)</f>
        <v>0</v>
      </c>
      <c r="U80" t="n">
        <f>IF(AND(1&gt;Paramètres!$B$9,Charges!F80&lt;&gt;"",Charges!F80&lt;&gt;0),1,0)+IF(AND(2&gt;Paramètres!$B$9,Charges!G80&lt;&gt;"",Charges!G80&lt;&gt;0),1,0)+IF(AND(3&gt;Paramètres!$B$9,Charges!H80&lt;&gt;"",Charges!H80&lt;&gt;0),1,0)+IF(AND(4&gt;Paramètres!$B$9,Charges!I80&lt;&gt;"",Charges!I80&lt;&gt;0),1,0)+IF(AND(5&gt;Paramètres!$B$9,Charges!J80&lt;&gt;"",Charges!J80&lt;&gt;0),1,0)+IF(AND(6&gt;Paramètres!$B$9,Charges!K80&lt;&gt;"",Charges!K80&lt;&gt;0),1,0)+IF(AND(7&gt;Paramètres!$B$9,Charges!L80&lt;&gt;"",Charges!L80&lt;&gt;0),1,0)+IF(AND(8&gt;Paramètres!$B$9,Charges!M80&lt;&gt;"",Charges!M80&lt;&gt;0),1,0)+IF(AND(9&gt;Paramètres!$B$9,Charges!N80&lt;&gt;"",Charges!N80&lt;&gt;0),1,0)+IF(AND(10&gt;Paramètres!$B$9,Charges!O80&lt;&gt;"",Charges!O80&lt;&gt;0),1,0)+IF(AND(11&gt;Paramètres!$B$9,Charges!P80&lt;&gt;"",Charges!P80&lt;&gt;0),1,0)+IF(AND(12&gt;Paramètres!$B$9,Charges!Q80&lt;&gt;"",Charges!Q80&lt;&gt;0),1,0)+IF(AND(13&gt;Paramètres!$B$9,Charges!R80&lt;&gt;"",Charges!R80&lt;&gt;0),1,0)</f>
        <v>0</v>
      </c>
      <c r="V80" t="n">
        <f>IF(IFERROR(VLOOKUP(A80,'Projets'!$A$8:$Z$67,5,FALSE),"")="Engager",1,0)</f>
        <v>0</v>
      </c>
      <c r="W80" t="n">
        <f>IF(IFERROR(VLOOKUP(A80,'Projets'!$A$8:$Z$67,6,FALSE),"")="Engager",1,0)</f>
        <v>0</v>
      </c>
      <c r="X80" t="n">
        <f>E80*S80</f>
        <v>0</v>
      </c>
      <c r="Y80" t="n">
        <f>F80*S80</f>
        <v>0</v>
      </c>
      <c r="Z80" t="n">
        <f>G80*S80</f>
        <v>0</v>
      </c>
      <c r="AA80" t="n">
        <f>H80*S80</f>
        <v>0</v>
      </c>
      <c r="AB80" t="n">
        <f>I80*S80</f>
        <v>0</v>
      </c>
      <c r="AC80" t="n">
        <f>J80*S80</f>
        <v>0</v>
      </c>
      <c r="AD80" t="n">
        <f>K80*S80</f>
        <v>0</v>
      </c>
      <c r="AE80" t="n">
        <f>L80*S80</f>
        <v>0</v>
      </c>
      <c r="AF80" t="n">
        <f>M80*S80</f>
        <v>0</v>
      </c>
      <c r="AG80" t="n">
        <f>N80*S80</f>
        <v>0</v>
      </c>
      <c r="AH80" t="n">
        <f>O80*S80</f>
        <v>0</v>
      </c>
      <c r="AI80" t="n">
        <f>P80*S80</f>
        <v>0</v>
      </c>
      <c r="AJ80" t="n">
        <f>Q80*S80</f>
        <v>0</v>
      </c>
      <c r="AK80" t="n">
        <f>E80*V80</f>
        <v>0</v>
      </c>
      <c r="AL80" t="n">
        <f>F80*V80</f>
        <v>0</v>
      </c>
      <c r="AM80" t="n">
        <f>G80*V80</f>
        <v>0</v>
      </c>
      <c r="AN80" t="n">
        <f>H80*V80</f>
        <v>0</v>
      </c>
      <c r="AO80" t="n">
        <f>I80*V80</f>
        <v>0</v>
      </c>
      <c r="AP80" t="n">
        <f>J80*V80</f>
        <v>0</v>
      </c>
      <c r="AQ80" t="n">
        <f>K80*V80</f>
        <v>0</v>
      </c>
      <c r="AR80" t="n">
        <f>L80*V80</f>
        <v>0</v>
      </c>
      <c r="AS80" t="n">
        <f>M80*V80</f>
        <v>0</v>
      </c>
      <c r="AT80" t="n">
        <f>N80*V80</f>
        <v>0</v>
      </c>
      <c r="AU80" t="n">
        <f>O80*V80</f>
        <v>0</v>
      </c>
      <c r="AV80" t="n">
        <f>P80*V80</f>
        <v>0</v>
      </c>
      <c r="AW80" t="n">
        <f>Q80*V80</f>
        <v>0</v>
      </c>
      <c r="AX80" t="n">
        <f>E80*W80</f>
        <v>0</v>
      </c>
      <c r="AY80" t="n">
        <f>F80*W80</f>
        <v>0</v>
      </c>
      <c r="AZ80" t="n">
        <f>G80*W80</f>
        <v>0</v>
      </c>
      <c r="BA80" t="n">
        <f>H80*W80</f>
        <v>0</v>
      </c>
      <c r="BB80" t="n">
        <f>I80*W80</f>
        <v>0</v>
      </c>
      <c r="BC80" t="n">
        <f>J80*W80</f>
        <v>0</v>
      </c>
      <c r="BD80" t="n">
        <f>K80*W80</f>
        <v>0</v>
      </c>
      <c r="BE80" t="n">
        <f>L80*W80</f>
        <v>0</v>
      </c>
      <c r="BF80" t="n">
        <f>M80*W80</f>
        <v>0</v>
      </c>
      <c r="BG80" t="n">
        <f>N80*W80</f>
        <v>0</v>
      </c>
      <c r="BH80" t="n">
        <f>O80*W80</f>
        <v>0</v>
      </c>
      <c r="BI80" t="n">
        <f>P80*W80</f>
        <v>0</v>
      </c>
      <c r="BJ80" t="n">
        <f>Q80*W80</f>
        <v>0</v>
      </c>
    </row>
    <row r="81">
      <c r="A81" t="n">
        <f>Charges!A81</f>
        <v>0</v>
      </c>
      <c r="B81" t="n">
        <f>Charges!C81</f>
        <v>0</v>
      </c>
      <c r="C81" t="str">
        <f>Charges!D81</f>
        <v/>
      </c>
      <c r="E81" t="n">
        <f>IF(1&lt;=Paramètres!$B$9,MAX(0,IFERROR(N(IF(ISNUMBER(Charges!F81),MAX(0,Charges!F81),IFERROR(VLOOKUP(Charges!F81,Paramètres!$A$15:$B$18,2,FALSE),0))),0)),0)</f>
        <v>0</v>
      </c>
      <c r="F81" t="n">
        <f>IF(2&lt;=Paramètres!$B$9,MAX(0,IFERROR(N(IF(ISNUMBER(Charges!G81),MAX(0,Charges!G81),IFERROR(VLOOKUP(Charges!G81,Paramètres!$A$15:$B$18,2,FALSE),0))),0)),0)</f>
        <v>0</v>
      </c>
      <c r="G81" t="n">
        <f>IF(3&lt;=Paramètres!$B$9,MAX(0,IFERROR(N(IF(ISNUMBER(Charges!H81),MAX(0,Charges!H81),IFERROR(VLOOKUP(Charges!H81,Paramètres!$A$15:$B$18,2,FALSE),0))),0)),0)</f>
        <v>0</v>
      </c>
      <c r="H81" t="n">
        <f>IF(4&lt;=Paramètres!$B$9,MAX(0,IFERROR(N(IF(ISNUMBER(Charges!I81),MAX(0,Charges!I81),IFERROR(VLOOKUP(Charges!I81,Paramètres!$A$15:$B$18,2,FALSE),0))),0)),0)</f>
        <v>0</v>
      </c>
      <c r="I81" t="n">
        <f>IF(5&lt;=Paramètres!$B$9,MAX(0,IFERROR(N(IF(ISNUMBER(Charges!J81),MAX(0,Charges!J81),IFERROR(VLOOKUP(Charges!J81,Paramètres!$A$15:$B$18,2,FALSE),0))),0)),0)</f>
        <v>0</v>
      </c>
      <c r="J81" t="n">
        <f>IF(6&lt;=Paramètres!$B$9,MAX(0,IFERROR(N(IF(ISNUMBER(Charges!K81),MAX(0,Charges!K81),IFERROR(VLOOKUP(Charges!K81,Paramètres!$A$15:$B$18,2,FALSE),0))),0)),0)</f>
        <v>0</v>
      </c>
      <c r="K81" t="n">
        <f>IF(7&lt;=Paramètres!$B$9,MAX(0,IFERROR(N(IF(ISNUMBER(Charges!L81),MAX(0,Charges!L81),IFERROR(VLOOKUP(Charges!L81,Paramètres!$A$15:$B$18,2,FALSE),0))),0)),0)</f>
        <v>0</v>
      </c>
      <c r="L81" t="n">
        <f>IF(8&lt;=Paramètres!$B$9,MAX(0,IFERROR(N(IF(ISNUMBER(Charges!M81),MAX(0,Charges!M81),IFERROR(VLOOKUP(Charges!M81,Paramètres!$A$15:$B$18,2,FALSE),0))),0)),0)</f>
        <v>0</v>
      </c>
      <c r="M81" t="n">
        <f>IF(9&lt;=Paramètres!$B$9,MAX(0,IFERROR(N(IF(ISNUMBER(Charges!N81),MAX(0,Charges!N81),IFERROR(VLOOKUP(Charges!N81,Paramètres!$A$15:$B$18,2,FALSE),0))),0)),0)</f>
        <v>0</v>
      </c>
      <c r="N81" t="n">
        <f>IF(10&lt;=Paramètres!$B$9,MAX(0,IFERROR(N(IF(ISNUMBER(Charges!O81),MAX(0,Charges!O81),IFERROR(VLOOKUP(Charges!O81,Paramètres!$A$15:$B$18,2,FALSE),0))),0)),0)</f>
        <v>0</v>
      </c>
      <c r="O81" t="n">
        <f>IF(11&lt;=Paramètres!$B$9,MAX(0,IFERROR(N(IF(ISNUMBER(Charges!P81),MAX(0,Charges!P81),IFERROR(VLOOKUP(Charges!P81,Paramètres!$A$15:$B$18,2,FALSE),0))),0)),0)</f>
        <v>0</v>
      </c>
      <c r="P81" t="n">
        <f>IF(12&lt;=Paramètres!$B$9,MAX(0,IFERROR(N(IF(ISNUMBER(Charges!Q81),MAX(0,Charges!Q81),IFERROR(VLOOKUP(Charges!Q81,Paramètres!$A$15:$B$18,2,FALSE),0))),0)),0)</f>
        <v>0</v>
      </c>
      <c r="Q81" t="n">
        <f>IF(13&lt;=Paramètres!$B$9,MAX(0,IFERROR(N(IF(ISNUMBER(Charges!R81),MAX(0,Charges!R81),IFERROR(VLOOKUP(Charges!R81,Paramètres!$A$15:$B$18,2,FALSE),0))),0)),0)</f>
        <v>0</v>
      </c>
      <c r="R81" t="n">
        <f>SUM(E81:Q81)</f>
        <v>0</v>
      </c>
      <c r="S81" t="n">
        <f>IF(IFERROR(VLOOKUP(A81,'Projets'!$A$8:$Z$67,7,FALSE),"")="Engager",1,0)</f>
        <v>0</v>
      </c>
      <c r="T81" t="n">
        <f>IF(OR(Charges!F81="",AND(ISNUMBER(Charges!F81),Charges!F81&gt;=0),Charges!F81="S",Charges!F81="M",Charges!F81="L",Charges!F81="XL"),0,1)+IF(OR(Charges!G81="",AND(ISNUMBER(Charges!G81),Charges!G81&gt;=0),Charges!G81="S",Charges!G81="M",Charges!G81="L",Charges!G81="XL"),0,1)+IF(OR(Charges!H81="",AND(ISNUMBER(Charges!H81),Charges!H81&gt;=0),Charges!H81="S",Charges!H81="M",Charges!H81="L",Charges!H81="XL"),0,1)+IF(OR(Charges!I81="",AND(ISNUMBER(Charges!I81),Charges!I81&gt;=0),Charges!I81="S",Charges!I81="M",Charges!I81="L",Charges!I81="XL"),0,1)+IF(OR(Charges!J81="",AND(ISNUMBER(Charges!J81),Charges!J81&gt;=0),Charges!J81="S",Charges!J81="M",Charges!J81="L",Charges!J81="XL"),0,1)+IF(OR(Charges!K81="",AND(ISNUMBER(Charges!K81),Charges!K81&gt;=0),Charges!K81="S",Charges!K81="M",Charges!K81="L",Charges!K81="XL"),0,1)+IF(OR(Charges!L81="",AND(ISNUMBER(Charges!L81),Charges!L81&gt;=0),Charges!L81="S",Charges!L81="M",Charges!L81="L",Charges!L81="XL"),0,1)+IF(OR(Charges!M81="",AND(ISNUMBER(Charges!M81),Charges!M81&gt;=0),Charges!M81="S",Charges!M81="M",Charges!M81="L",Charges!M81="XL"),0,1)+IF(OR(Charges!N81="",AND(ISNUMBER(Charges!N81),Charges!N81&gt;=0),Charges!N81="S",Charges!N81="M",Charges!N81="L",Charges!N81="XL"),0,1)+IF(OR(Charges!O81="",AND(ISNUMBER(Charges!O81),Charges!O81&gt;=0),Charges!O81="S",Charges!O81="M",Charges!O81="L",Charges!O81="XL"),0,1)+IF(OR(Charges!P81="",AND(ISNUMBER(Charges!P81),Charges!P81&gt;=0),Charges!P81="S",Charges!P81="M",Charges!P81="L",Charges!P81="XL"),0,1)+IF(OR(Charges!Q81="",AND(ISNUMBER(Charges!Q81),Charges!Q81&gt;=0),Charges!Q81="S",Charges!Q81="M",Charges!Q81="L",Charges!Q81="XL"),0,1)+IF(OR(Charges!R81="",AND(ISNUMBER(Charges!R81),Charges!R81&gt;=0),Charges!R81="S",Charges!R81="M",Charges!R81="L",Charges!R81="XL"),0,1)</f>
        <v>0</v>
      </c>
      <c r="U81" t="n">
        <f>IF(AND(1&gt;Paramètres!$B$9,Charges!F81&lt;&gt;"",Charges!F81&lt;&gt;0),1,0)+IF(AND(2&gt;Paramètres!$B$9,Charges!G81&lt;&gt;"",Charges!G81&lt;&gt;0),1,0)+IF(AND(3&gt;Paramètres!$B$9,Charges!H81&lt;&gt;"",Charges!H81&lt;&gt;0),1,0)+IF(AND(4&gt;Paramètres!$B$9,Charges!I81&lt;&gt;"",Charges!I81&lt;&gt;0),1,0)+IF(AND(5&gt;Paramètres!$B$9,Charges!J81&lt;&gt;"",Charges!J81&lt;&gt;0),1,0)+IF(AND(6&gt;Paramètres!$B$9,Charges!K81&lt;&gt;"",Charges!K81&lt;&gt;0),1,0)+IF(AND(7&gt;Paramètres!$B$9,Charges!L81&lt;&gt;"",Charges!L81&lt;&gt;0),1,0)+IF(AND(8&gt;Paramètres!$B$9,Charges!M81&lt;&gt;"",Charges!M81&lt;&gt;0),1,0)+IF(AND(9&gt;Paramètres!$B$9,Charges!N81&lt;&gt;"",Charges!N81&lt;&gt;0),1,0)+IF(AND(10&gt;Paramètres!$B$9,Charges!O81&lt;&gt;"",Charges!O81&lt;&gt;0),1,0)+IF(AND(11&gt;Paramètres!$B$9,Charges!P81&lt;&gt;"",Charges!P81&lt;&gt;0),1,0)+IF(AND(12&gt;Paramètres!$B$9,Charges!Q81&lt;&gt;"",Charges!Q81&lt;&gt;0),1,0)+IF(AND(13&gt;Paramètres!$B$9,Charges!R81&lt;&gt;"",Charges!R81&lt;&gt;0),1,0)</f>
        <v>0</v>
      </c>
      <c r="V81" t="n">
        <f>IF(IFERROR(VLOOKUP(A81,'Projets'!$A$8:$Z$67,5,FALSE),"")="Engager",1,0)</f>
        <v>0</v>
      </c>
      <c r="W81" t="n">
        <f>IF(IFERROR(VLOOKUP(A81,'Projets'!$A$8:$Z$67,6,FALSE),"")="Engager",1,0)</f>
        <v>0</v>
      </c>
      <c r="X81" t="n">
        <f>E81*S81</f>
        <v>0</v>
      </c>
      <c r="Y81" t="n">
        <f>F81*S81</f>
        <v>0</v>
      </c>
      <c r="Z81" t="n">
        <f>G81*S81</f>
        <v>0</v>
      </c>
      <c r="AA81" t="n">
        <f>H81*S81</f>
        <v>0</v>
      </c>
      <c r="AB81" t="n">
        <f>I81*S81</f>
        <v>0</v>
      </c>
      <c r="AC81" t="n">
        <f>J81*S81</f>
        <v>0</v>
      </c>
      <c r="AD81" t="n">
        <f>K81*S81</f>
        <v>0</v>
      </c>
      <c r="AE81" t="n">
        <f>L81*S81</f>
        <v>0</v>
      </c>
      <c r="AF81" t="n">
        <f>M81*S81</f>
        <v>0</v>
      </c>
      <c r="AG81" t="n">
        <f>N81*S81</f>
        <v>0</v>
      </c>
      <c r="AH81" t="n">
        <f>O81*S81</f>
        <v>0</v>
      </c>
      <c r="AI81" t="n">
        <f>P81*S81</f>
        <v>0</v>
      </c>
      <c r="AJ81" t="n">
        <f>Q81*S81</f>
        <v>0</v>
      </c>
      <c r="AK81" t="n">
        <f>E81*V81</f>
        <v>0</v>
      </c>
      <c r="AL81" t="n">
        <f>F81*V81</f>
        <v>0</v>
      </c>
      <c r="AM81" t="n">
        <f>G81*V81</f>
        <v>0</v>
      </c>
      <c r="AN81" t="n">
        <f>H81*V81</f>
        <v>0</v>
      </c>
      <c r="AO81" t="n">
        <f>I81*V81</f>
        <v>0</v>
      </c>
      <c r="AP81" t="n">
        <f>J81*V81</f>
        <v>0</v>
      </c>
      <c r="AQ81" t="n">
        <f>K81*V81</f>
        <v>0</v>
      </c>
      <c r="AR81" t="n">
        <f>L81*V81</f>
        <v>0</v>
      </c>
      <c r="AS81" t="n">
        <f>M81*V81</f>
        <v>0</v>
      </c>
      <c r="AT81" t="n">
        <f>N81*V81</f>
        <v>0</v>
      </c>
      <c r="AU81" t="n">
        <f>O81*V81</f>
        <v>0</v>
      </c>
      <c r="AV81" t="n">
        <f>P81*V81</f>
        <v>0</v>
      </c>
      <c r="AW81" t="n">
        <f>Q81*V81</f>
        <v>0</v>
      </c>
      <c r="AX81" t="n">
        <f>E81*W81</f>
        <v>0</v>
      </c>
      <c r="AY81" t="n">
        <f>F81*W81</f>
        <v>0</v>
      </c>
      <c r="AZ81" t="n">
        <f>G81*W81</f>
        <v>0</v>
      </c>
      <c r="BA81" t="n">
        <f>H81*W81</f>
        <v>0</v>
      </c>
      <c r="BB81" t="n">
        <f>I81*W81</f>
        <v>0</v>
      </c>
      <c r="BC81" t="n">
        <f>J81*W81</f>
        <v>0</v>
      </c>
      <c r="BD81" t="n">
        <f>K81*W81</f>
        <v>0</v>
      </c>
      <c r="BE81" t="n">
        <f>L81*W81</f>
        <v>0</v>
      </c>
      <c r="BF81" t="n">
        <f>M81*W81</f>
        <v>0</v>
      </c>
      <c r="BG81" t="n">
        <f>N81*W81</f>
        <v>0</v>
      </c>
      <c r="BH81" t="n">
        <f>O81*W81</f>
        <v>0</v>
      </c>
      <c r="BI81" t="n">
        <f>P81*W81</f>
        <v>0</v>
      </c>
      <c r="BJ81" t="n">
        <f>Q81*W81</f>
        <v>0</v>
      </c>
    </row>
    <row r="82">
      <c r="A82" t="n">
        <f>Charges!A82</f>
        <v>0</v>
      </c>
      <c r="B82" t="n">
        <f>Charges!C82</f>
        <v>0</v>
      </c>
      <c r="C82" t="str">
        <f>Charges!D82</f>
        <v/>
      </c>
      <c r="E82" t="n">
        <f>IF(1&lt;=Paramètres!$B$9,MAX(0,IFERROR(N(IF(ISNUMBER(Charges!F82),MAX(0,Charges!F82),IFERROR(VLOOKUP(Charges!F82,Paramètres!$A$15:$B$18,2,FALSE),0))),0)),0)</f>
        <v>0</v>
      </c>
      <c r="F82" t="n">
        <f>IF(2&lt;=Paramètres!$B$9,MAX(0,IFERROR(N(IF(ISNUMBER(Charges!G82),MAX(0,Charges!G82),IFERROR(VLOOKUP(Charges!G82,Paramètres!$A$15:$B$18,2,FALSE),0))),0)),0)</f>
        <v>0</v>
      </c>
      <c r="G82" t="n">
        <f>IF(3&lt;=Paramètres!$B$9,MAX(0,IFERROR(N(IF(ISNUMBER(Charges!H82),MAX(0,Charges!H82),IFERROR(VLOOKUP(Charges!H82,Paramètres!$A$15:$B$18,2,FALSE),0))),0)),0)</f>
        <v>0</v>
      </c>
      <c r="H82" t="n">
        <f>IF(4&lt;=Paramètres!$B$9,MAX(0,IFERROR(N(IF(ISNUMBER(Charges!I82),MAX(0,Charges!I82),IFERROR(VLOOKUP(Charges!I82,Paramètres!$A$15:$B$18,2,FALSE),0))),0)),0)</f>
        <v>0</v>
      </c>
      <c r="I82" t="n">
        <f>IF(5&lt;=Paramètres!$B$9,MAX(0,IFERROR(N(IF(ISNUMBER(Charges!J82),MAX(0,Charges!J82),IFERROR(VLOOKUP(Charges!J82,Paramètres!$A$15:$B$18,2,FALSE),0))),0)),0)</f>
        <v>0</v>
      </c>
      <c r="J82" t="n">
        <f>IF(6&lt;=Paramètres!$B$9,MAX(0,IFERROR(N(IF(ISNUMBER(Charges!K82),MAX(0,Charges!K82),IFERROR(VLOOKUP(Charges!K82,Paramètres!$A$15:$B$18,2,FALSE),0))),0)),0)</f>
        <v>0</v>
      </c>
      <c r="K82" t="n">
        <f>IF(7&lt;=Paramètres!$B$9,MAX(0,IFERROR(N(IF(ISNUMBER(Charges!L82),MAX(0,Charges!L82),IFERROR(VLOOKUP(Charges!L82,Paramètres!$A$15:$B$18,2,FALSE),0))),0)),0)</f>
        <v>0</v>
      </c>
      <c r="L82" t="n">
        <f>IF(8&lt;=Paramètres!$B$9,MAX(0,IFERROR(N(IF(ISNUMBER(Charges!M82),MAX(0,Charges!M82),IFERROR(VLOOKUP(Charges!M82,Paramètres!$A$15:$B$18,2,FALSE),0))),0)),0)</f>
        <v>0</v>
      </c>
      <c r="M82" t="n">
        <f>IF(9&lt;=Paramètres!$B$9,MAX(0,IFERROR(N(IF(ISNUMBER(Charges!N82),MAX(0,Charges!N82),IFERROR(VLOOKUP(Charges!N82,Paramètres!$A$15:$B$18,2,FALSE),0))),0)),0)</f>
        <v>0</v>
      </c>
      <c r="N82" t="n">
        <f>IF(10&lt;=Paramètres!$B$9,MAX(0,IFERROR(N(IF(ISNUMBER(Charges!O82),MAX(0,Charges!O82),IFERROR(VLOOKUP(Charges!O82,Paramètres!$A$15:$B$18,2,FALSE),0))),0)),0)</f>
        <v>0</v>
      </c>
      <c r="O82" t="n">
        <f>IF(11&lt;=Paramètres!$B$9,MAX(0,IFERROR(N(IF(ISNUMBER(Charges!P82),MAX(0,Charges!P82),IFERROR(VLOOKUP(Charges!P82,Paramètres!$A$15:$B$18,2,FALSE),0))),0)),0)</f>
        <v>0</v>
      </c>
      <c r="P82" t="n">
        <f>IF(12&lt;=Paramètres!$B$9,MAX(0,IFERROR(N(IF(ISNUMBER(Charges!Q82),MAX(0,Charges!Q82),IFERROR(VLOOKUP(Charges!Q82,Paramètres!$A$15:$B$18,2,FALSE),0))),0)),0)</f>
        <v>0</v>
      </c>
      <c r="Q82" t="n">
        <f>IF(13&lt;=Paramètres!$B$9,MAX(0,IFERROR(N(IF(ISNUMBER(Charges!R82),MAX(0,Charges!R82),IFERROR(VLOOKUP(Charges!R82,Paramètres!$A$15:$B$18,2,FALSE),0))),0)),0)</f>
        <v>0</v>
      </c>
      <c r="R82" t="n">
        <f>SUM(E82:Q82)</f>
        <v>0</v>
      </c>
      <c r="S82" t="n">
        <f>IF(IFERROR(VLOOKUP(A82,'Projets'!$A$8:$Z$67,7,FALSE),"")="Engager",1,0)</f>
        <v>0</v>
      </c>
      <c r="T82" t="n">
        <f>IF(OR(Charges!F82="",AND(ISNUMBER(Charges!F82),Charges!F82&gt;=0),Charges!F82="S",Charges!F82="M",Charges!F82="L",Charges!F82="XL"),0,1)+IF(OR(Charges!G82="",AND(ISNUMBER(Charges!G82),Charges!G82&gt;=0),Charges!G82="S",Charges!G82="M",Charges!G82="L",Charges!G82="XL"),0,1)+IF(OR(Charges!H82="",AND(ISNUMBER(Charges!H82),Charges!H82&gt;=0),Charges!H82="S",Charges!H82="M",Charges!H82="L",Charges!H82="XL"),0,1)+IF(OR(Charges!I82="",AND(ISNUMBER(Charges!I82),Charges!I82&gt;=0),Charges!I82="S",Charges!I82="M",Charges!I82="L",Charges!I82="XL"),0,1)+IF(OR(Charges!J82="",AND(ISNUMBER(Charges!J82),Charges!J82&gt;=0),Charges!J82="S",Charges!J82="M",Charges!J82="L",Charges!J82="XL"),0,1)+IF(OR(Charges!K82="",AND(ISNUMBER(Charges!K82),Charges!K82&gt;=0),Charges!K82="S",Charges!K82="M",Charges!K82="L",Charges!K82="XL"),0,1)+IF(OR(Charges!L82="",AND(ISNUMBER(Charges!L82),Charges!L82&gt;=0),Charges!L82="S",Charges!L82="M",Charges!L82="L",Charges!L82="XL"),0,1)+IF(OR(Charges!M82="",AND(ISNUMBER(Charges!M82),Charges!M82&gt;=0),Charges!M82="S",Charges!M82="M",Charges!M82="L",Charges!M82="XL"),0,1)+IF(OR(Charges!N82="",AND(ISNUMBER(Charges!N82),Charges!N82&gt;=0),Charges!N82="S",Charges!N82="M",Charges!N82="L",Charges!N82="XL"),0,1)+IF(OR(Charges!O82="",AND(ISNUMBER(Charges!O82),Charges!O82&gt;=0),Charges!O82="S",Charges!O82="M",Charges!O82="L",Charges!O82="XL"),0,1)+IF(OR(Charges!P82="",AND(ISNUMBER(Charges!P82),Charges!P82&gt;=0),Charges!P82="S",Charges!P82="M",Charges!P82="L",Charges!P82="XL"),0,1)+IF(OR(Charges!Q82="",AND(ISNUMBER(Charges!Q82),Charges!Q82&gt;=0),Charges!Q82="S",Charges!Q82="M",Charges!Q82="L",Charges!Q82="XL"),0,1)+IF(OR(Charges!R82="",AND(ISNUMBER(Charges!R82),Charges!R82&gt;=0),Charges!R82="S",Charges!R82="M",Charges!R82="L",Charges!R82="XL"),0,1)</f>
        <v>0</v>
      </c>
      <c r="U82" t="n">
        <f>IF(AND(1&gt;Paramètres!$B$9,Charges!F82&lt;&gt;"",Charges!F82&lt;&gt;0),1,0)+IF(AND(2&gt;Paramètres!$B$9,Charges!G82&lt;&gt;"",Charges!G82&lt;&gt;0),1,0)+IF(AND(3&gt;Paramètres!$B$9,Charges!H82&lt;&gt;"",Charges!H82&lt;&gt;0),1,0)+IF(AND(4&gt;Paramètres!$B$9,Charges!I82&lt;&gt;"",Charges!I82&lt;&gt;0),1,0)+IF(AND(5&gt;Paramètres!$B$9,Charges!J82&lt;&gt;"",Charges!J82&lt;&gt;0),1,0)+IF(AND(6&gt;Paramètres!$B$9,Charges!K82&lt;&gt;"",Charges!K82&lt;&gt;0),1,0)+IF(AND(7&gt;Paramètres!$B$9,Charges!L82&lt;&gt;"",Charges!L82&lt;&gt;0),1,0)+IF(AND(8&gt;Paramètres!$B$9,Charges!M82&lt;&gt;"",Charges!M82&lt;&gt;0),1,0)+IF(AND(9&gt;Paramètres!$B$9,Charges!N82&lt;&gt;"",Charges!N82&lt;&gt;0),1,0)+IF(AND(10&gt;Paramètres!$B$9,Charges!O82&lt;&gt;"",Charges!O82&lt;&gt;0),1,0)+IF(AND(11&gt;Paramètres!$B$9,Charges!P82&lt;&gt;"",Charges!P82&lt;&gt;0),1,0)+IF(AND(12&gt;Paramètres!$B$9,Charges!Q82&lt;&gt;"",Charges!Q82&lt;&gt;0),1,0)+IF(AND(13&gt;Paramètres!$B$9,Charges!R82&lt;&gt;"",Charges!R82&lt;&gt;0),1,0)</f>
        <v>0</v>
      </c>
      <c r="V82" t="n">
        <f>IF(IFERROR(VLOOKUP(A82,'Projets'!$A$8:$Z$67,5,FALSE),"")="Engager",1,0)</f>
        <v>0</v>
      </c>
      <c r="W82" t="n">
        <f>IF(IFERROR(VLOOKUP(A82,'Projets'!$A$8:$Z$67,6,FALSE),"")="Engager",1,0)</f>
        <v>0</v>
      </c>
      <c r="X82" t="n">
        <f>E82*S82</f>
        <v>0</v>
      </c>
      <c r="Y82" t="n">
        <f>F82*S82</f>
        <v>0</v>
      </c>
      <c r="Z82" t="n">
        <f>G82*S82</f>
        <v>0</v>
      </c>
      <c r="AA82" t="n">
        <f>H82*S82</f>
        <v>0</v>
      </c>
      <c r="AB82" t="n">
        <f>I82*S82</f>
        <v>0</v>
      </c>
      <c r="AC82" t="n">
        <f>J82*S82</f>
        <v>0</v>
      </c>
      <c r="AD82" t="n">
        <f>K82*S82</f>
        <v>0</v>
      </c>
      <c r="AE82" t="n">
        <f>L82*S82</f>
        <v>0</v>
      </c>
      <c r="AF82" t="n">
        <f>M82*S82</f>
        <v>0</v>
      </c>
      <c r="AG82" t="n">
        <f>N82*S82</f>
        <v>0</v>
      </c>
      <c r="AH82" t="n">
        <f>O82*S82</f>
        <v>0</v>
      </c>
      <c r="AI82" t="n">
        <f>P82*S82</f>
        <v>0</v>
      </c>
      <c r="AJ82" t="n">
        <f>Q82*S82</f>
        <v>0</v>
      </c>
      <c r="AK82" t="n">
        <f>E82*V82</f>
        <v>0</v>
      </c>
      <c r="AL82" t="n">
        <f>F82*V82</f>
        <v>0</v>
      </c>
      <c r="AM82" t="n">
        <f>G82*V82</f>
        <v>0</v>
      </c>
      <c r="AN82" t="n">
        <f>H82*V82</f>
        <v>0</v>
      </c>
      <c r="AO82" t="n">
        <f>I82*V82</f>
        <v>0</v>
      </c>
      <c r="AP82" t="n">
        <f>J82*V82</f>
        <v>0</v>
      </c>
      <c r="AQ82" t="n">
        <f>K82*V82</f>
        <v>0</v>
      </c>
      <c r="AR82" t="n">
        <f>L82*V82</f>
        <v>0</v>
      </c>
      <c r="AS82" t="n">
        <f>M82*V82</f>
        <v>0</v>
      </c>
      <c r="AT82" t="n">
        <f>N82*V82</f>
        <v>0</v>
      </c>
      <c r="AU82" t="n">
        <f>O82*V82</f>
        <v>0</v>
      </c>
      <c r="AV82" t="n">
        <f>P82*V82</f>
        <v>0</v>
      </c>
      <c r="AW82" t="n">
        <f>Q82*V82</f>
        <v>0</v>
      </c>
      <c r="AX82" t="n">
        <f>E82*W82</f>
        <v>0</v>
      </c>
      <c r="AY82" t="n">
        <f>F82*W82</f>
        <v>0</v>
      </c>
      <c r="AZ82" t="n">
        <f>G82*W82</f>
        <v>0</v>
      </c>
      <c r="BA82" t="n">
        <f>H82*W82</f>
        <v>0</v>
      </c>
      <c r="BB82" t="n">
        <f>I82*W82</f>
        <v>0</v>
      </c>
      <c r="BC82" t="n">
        <f>J82*W82</f>
        <v>0</v>
      </c>
      <c r="BD82" t="n">
        <f>K82*W82</f>
        <v>0</v>
      </c>
      <c r="BE82" t="n">
        <f>L82*W82</f>
        <v>0</v>
      </c>
      <c r="BF82" t="n">
        <f>M82*W82</f>
        <v>0</v>
      </c>
      <c r="BG82" t="n">
        <f>N82*W82</f>
        <v>0</v>
      </c>
      <c r="BH82" t="n">
        <f>O82*W82</f>
        <v>0</v>
      </c>
      <c r="BI82" t="n">
        <f>P82*W82</f>
        <v>0</v>
      </c>
      <c r="BJ82" t="n">
        <f>Q82*W82</f>
        <v>0</v>
      </c>
    </row>
    <row r="83">
      <c r="A83" t="n">
        <f>Charges!A83</f>
        <v>0</v>
      </c>
      <c r="B83" t="n">
        <f>Charges!C83</f>
        <v>0</v>
      </c>
      <c r="C83" t="str">
        <f>Charges!D83</f>
        <v/>
      </c>
      <c r="E83" t="n">
        <f>IF(1&lt;=Paramètres!$B$9,MAX(0,IFERROR(N(IF(ISNUMBER(Charges!F83),MAX(0,Charges!F83),IFERROR(VLOOKUP(Charges!F83,Paramètres!$A$15:$B$18,2,FALSE),0))),0)),0)</f>
        <v>0</v>
      </c>
      <c r="F83" t="n">
        <f>IF(2&lt;=Paramètres!$B$9,MAX(0,IFERROR(N(IF(ISNUMBER(Charges!G83),MAX(0,Charges!G83),IFERROR(VLOOKUP(Charges!G83,Paramètres!$A$15:$B$18,2,FALSE),0))),0)),0)</f>
        <v>0</v>
      </c>
      <c r="G83" t="n">
        <f>IF(3&lt;=Paramètres!$B$9,MAX(0,IFERROR(N(IF(ISNUMBER(Charges!H83),MAX(0,Charges!H83),IFERROR(VLOOKUP(Charges!H83,Paramètres!$A$15:$B$18,2,FALSE),0))),0)),0)</f>
        <v>0</v>
      </c>
      <c r="H83" t="n">
        <f>IF(4&lt;=Paramètres!$B$9,MAX(0,IFERROR(N(IF(ISNUMBER(Charges!I83),MAX(0,Charges!I83),IFERROR(VLOOKUP(Charges!I83,Paramètres!$A$15:$B$18,2,FALSE),0))),0)),0)</f>
        <v>0</v>
      </c>
      <c r="I83" t="n">
        <f>IF(5&lt;=Paramètres!$B$9,MAX(0,IFERROR(N(IF(ISNUMBER(Charges!J83),MAX(0,Charges!J83),IFERROR(VLOOKUP(Charges!J83,Paramètres!$A$15:$B$18,2,FALSE),0))),0)),0)</f>
        <v>0</v>
      </c>
      <c r="J83" t="n">
        <f>IF(6&lt;=Paramètres!$B$9,MAX(0,IFERROR(N(IF(ISNUMBER(Charges!K83),MAX(0,Charges!K83),IFERROR(VLOOKUP(Charges!K83,Paramètres!$A$15:$B$18,2,FALSE),0))),0)),0)</f>
        <v>0</v>
      </c>
      <c r="K83" t="n">
        <f>IF(7&lt;=Paramètres!$B$9,MAX(0,IFERROR(N(IF(ISNUMBER(Charges!L83),MAX(0,Charges!L83),IFERROR(VLOOKUP(Charges!L83,Paramètres!$A$15:$B$18,2,FALSE),0))),0)),0)</f>
        <v>0</v>
      </c>
      <c r="L83" t="n">
        <f>IF(8&lt;=Paramètres!$B$9,MAX(0,IFERROR(N(IF(ISNUMBER(Charges!M83),MAX(0,Charges!M83),IFERROR(VLOOKUP(Charges!M83,Paramètres!$A$15:$B$18,2,FALSE),0))),0)),0)</f>
        <v>0</v>
      </c>
      <c r="M83" t="n">
        <f>IF(9&lt;=Paramètres!$B$9,MAX(0,IFERROR(N(IF(ISNUMBER(Charges!N83),MAX(0,Charges!N83),IFERROR(VLOOKUP(Charges!N83,Paramètres!$A$15:$B$18,2,FALSE),0))),0)),0)</f>
        <v>0</v>
      </c>
      <c r="N83" t="n">
        <f>IF(10&lt;=Paramètres!$B$9,MAX(0,IFERROR(N(IF(ISNUMBER(Charges!O83),MAX(0,Charges!O83),IFERROR(VLOOKUP(Charges!O83,Paramètres!$A$15:$B$18,2,FALSE),0))),0)),0)</f>
        <v>0</v>
      </c>
      <c r="O83" t="n">
        <f>IF(11&lt;=Paramètres!$B$9,MAX(0,IFERROR(N(IF(ISNUMBER(Charges!P83),MAX(0,Charges!P83),IFERROR(VLOOKUP(Charges!P83,Paramètres!$A$15:$B$18,2,FALSE),0))),0)),0)</f>
        <v>0</v>
      </c>
      <c r="P83" t="n">
        <f>IF(12&lt;=Paramètres!$B$9,MAX(0,IFERROR(N(IF(ISNUMBER(Charges!Q83),MAX(0,Charges!Q83),IFERROR(VLOOKUP(Charges!Q83,Paramètres!$A$15:$B$18,2,FALSE),0))),0)),0)</f>
        <v>0</v>
      </c>
      <c r="Q83" t="n">
        <f>IF(13&lt;=Paramètres!$B$9,MAX(0,IFERROR(N(IF(ISNUMBER(Charges!R83),MAX(0,Charges!R83),IFERROR(VLOOKUP(Charges!R83,Paramètres!$A$15:$B$18,2,FALSE),0))),0)),0)</f>
        <v>0</v>
      </c>
      <c r="R83" t="n">
        <f>SUM(E83:Q83)</f>
        <v>0</v>
      </c>
      <c r="S83" t="n">
        <f>IF(IFERROR(VLOOKUP(A83,'Projets'!$A$8:$Z$67,7,FALSE),"")="Engager",1,0)</f>
        <v>0</v>
      </c>
      <c r="T83" t="n">
        <f>IF(OR(Charges!F83="",AND(ISNUMBER(Charges!F83),Charges!F83&gt;=0),Charges!F83="S",Charges!F83="M",Charges!F83="L",Charges!F83="XL"),0,1)+IF(OR(Charges!G83="",AND(ISNUMBER(Charges!G83),Charges!G83&gt;=0),Charges!G83="S",Charges!G83="M",Charges!G83="L",Charges!G83="XL"),0,1)+IF(OR(Charges!H83="",AND(ISNUMBER(Charges!H83),Charges!H83&gt;=0),Charges!H83="S",Charges!H83="M",Charges!H83="L",Charges!H83="XL"),0,1)+IF(OR(Charges!I83="",AND(ISNUMBER(Charges!I83),Charges!I83&gt;=0),Charges!I83="S",Charges!I83="M",Charges!I83="L",Charges!I83="XL"),0,1)+IF(OR(Charges!J83="",AND(ISNUMBER(Charges!J83),Charges!J83&gt;=0),Charges!J83="S",Charges!J83="M",Charges!J83="L",Charges!J83="XL"),0,1)+IF(OR(Charges!K83="",AND(ISNUMBER(Charges!K83),Charges!K83&gt;=0),Charges!K83="S",Charges!K83="M",Charges!K83="L",Charges!K83="XL"),0,1)+IF(OR(Charges!L83="",AND(ISNUMBER(Charges!L83),Charges!L83&gt;=0),Charges!L83="S",Charges!L83="M",Charges!L83="L",Charges!L83="XL"),0,1)+IF(OR(Charges!M83="",AND(ISNUMBER(Charges!M83),Charges!M83&gt;=0),Charges!M83="S",Charges!M83="M",Charges!M83="L",Charges!M83="XL"),0,1)+IF(OR(Charges!N83="",AND(ISNUMBER(Charges!N83),Charges!N83&gt;=0),Charges!N83="S",Charges!N83="M",Charges!N83="L",Charges!N83="XL"),0,1)+IF(OR(Charges!O83="",AND(ISNUMBER(Charges!O83),Charges!O83&gt;=0),Charges!O83="S",Charges!O83="M",Charges!O83="L",Charges!O83="XL"),0,1)+IF(OR(Charges!P83="",AND(ISNUMBER(Charges!P83),Charges!P83&gt;=0),Charges!P83="S",Charges!P83="M",Charges!P83="L",Charges!P83="XL"),0,1)+IF(OR(Charges!Q83="",AND(ISNUMBER(Charges!Q83),Charges!Q83&gt;=0),Charges!Q83="S",Charges!Q83="M",Charges!Q83="L",Charges!Q83="XL"),0,1)+IF(OR(Charges!R83="",AND(ISNUMBER(Charges!R83),Charges!R83&gt;=0),Charges!R83="S",Charges!R83="M",Charges!R83="L",Charges!R83="XL"),0,1)</f>
        <v>0</v>
      </c>
      <c r="U83" t="n">
        <f>IF(AND(1&gt;Paramètres!$B$9,Charges!F83&lt;&gt;"",Charges!F83&lt;&gt;0),1,0)+IF(AND(2&gt;Paramètres!$B$9,Charges!G83&lt;&gt;"",Charges!G83&lt;&gt;0),1,0)+IF(AND(3&gt;Paramètres!$B$9,Charges!H83&lt;&gt;"",Charges!H83&lt;&gt;0),1,0)+IF(AND(4&gt;Paramètres!$B$9,Charges!I83&lt;&gt;"",Charges!I83&lt;&gt;0),1,0)+IF(AND(5&gt;Paramètres!$B$9,Charges!J83&lt;&gt;"",Charges!J83&lt;&gt;0),1,0)+IF(AND(6&gt;Paramètres!$B$9,Charges!K83&lt;&gt;"",Charges!K83&lt;&gt;0),1,0)+IF(AND(7&gt;Paramètres!$B$9,Charges!L83&lt;&gt;"",Charges!L83&lt;&gt;0),1,0)+IF(AND(8&gt;Paramètres!$B$9,Charges!M83&lt;&gt;"",Charges!M83&lt;&gt;0),1,0)+IF(AND(9&gt;Paramètres!$B$9,Charges!N83&lt;&gt;"",Charges!N83&lt;&gt;0),1,0)+IF(AND(10&gt;Paramètres!$B$9,Charges!O83&lt;&gt;"",Charges!O83&lt;&gt;0),1,0)+IF(AND(11&gt;Paramètres!$B$9,Charges!P83&lt;&gt;"",Charges!P83&lt;&gt;0),1,0)+IF(AND(12&gt;Paramètres!$B$9,Charges!Q83&lt;&gt;"",Charges!Q83&lt;&gt;0),1,0)+IF(AND(13&gt;Paramètres!$B$9,Charges!R83&lt;&gt;"",Charges!R83&lt;&gt;0),1,0)</f>
        <v>0</v>
      </c>
      <c r="V83" t="n">
        <f>IF(IFERROR(VLOOKUP(A83,'Projets'!$A$8:$Z$67,5,FALSE),"")="Engager",1,0)</f>
        <v>0</v>
      </c>
      <c r="W83" t="n">
        <f>IF(IFERROR(VLOOKUP(A83,'Projets'!$A$8:$Z$67,6,FALSE),"")="Engager",1,0)</f>
        <v>0</v>
      </c>
      <c r="X83" t="n">
        <f>E83*S83</f>
        <v>0</v>
      </c>
      <c r="Y83" t="n">
        <f>F83*S83</f>
        <v>0</v>
      </c>
      <c r="Z83" t="n">
        <f>G83*S83</f>
        <v>0</v>
      </c>
      <c r="AA83" t="n">
        <f>H83*S83</f>
        <v>0</v>
      </c>
      <c r="AB83" t="n">
        <f>I83*S83</f>
        <v>0</v>
      </c>
      <c r="AC83" t="n">
        <f>J83*S83</f>
        <v>0</v>
      </c>
      <c r="AD83" t="n">
        <f>K83*S83</f>
        <v>0</v>
      </c>
      <c r="AE83" t="n">
        <f>L83*S83</f>
        <v>0</v>
      </c>
      <c r="AF83" t="n">
        <f>M83*S83</f>
        <v>0</v>
      </c>
      <c r="AG83" t="n">
        <f>N83*S83</f>
        <v>0</v>
      </c>
      <c r="AH83" t="n">
        <f>O83*S83</f>
        <v>0</v>
      </c>
      <c r="AI83" t="n">
        <f>P83*S83</f>
        <v>0</v>
      </c>
      <c r="AJ83" t="n">
        <f>Q83*S83</f>
        <v>0</v>
      </c>
      <c r="AK83" t="n">
        <f>E83*V83</f>
        <v>0</v>
      </c>
      <c r="AL83" t="n">
        <f>F83*V83</f>
        <v>0</v>
      </c>
      <c r="AM83" t="n">
        <f>G83*V83</f>
        <v>0</v>
      </c>
      <c r="AN83" t="n">
        <f>H83*V83</f>
        <v>0</v>
      </c>
      <c r="AO83" t="n">
        <f>I83*V83</f>
        <v>0</v>
      </c>
      <c r="AP83" t="n">
        <f>J83*V83</f>
        <v>0</v>
      </c>
      <c r="AQ83" t="n">
        <f>K83*V83</f>
        <v>0</v>
      </c>
      <c r="AR83" t="n">
        <f>L83*V83</f>
        <v>0</v>
      </c>
      <c r="AS83" t="n">
        <f>M83*V83</f>
        <v>0</v>
      </c>
      <c r="AT83" t="n">
        <f>N83*V83</f>
        <v>0</v>
      </c>
      <c r="AU83" t="n">
        <f>O83*V83</f>
        <v>0</v>
      </c>
      <c r="AV83" t="n">
        <f>P83*V83</f>
        <v>0</v>
      </c>
      <c r="AW83" t="n">
        <f>Q83*V83</f>
        <v>0</v>
      </c>
      <c r="AX83" t="n">
        <f>E83*W83</f>
        <v>0</v>
      </c>
      <c r="AY83" t="n">
        <f>F83*W83</f>
        <v>0</v>
      </c>
      <c r="AZ83" t="n">
        <f>G83*W83</f>
        <v>0</v>
      </c>
      <c r="BA83" t="n">
        <f>H83*W83</f>
        <v>0</v>
      </c>
      <c r="BB83" t="n">
        <f>I83*W83</f>
        <v>0</v>
      </c>
      <c r="BC83" t="n">
        <f>J83*W83</f>
        <v>0</v>
      </c>
      <c r="BD83" t="n">
        <f>K83*W83</f>
        <v>0</v>
      </c>
      <c r="BE83" t="n">
        <f>L83*W83</f>
        <v>0</v>
      </c>
      <c r="BF83" t="n">
        <f>M83*W83</f>
        <v>0</v>
      </c>
      <c r="BG83" t="n">
        <f>N83*W83</f>
        <v>0</v>
      </c>
      <c r="BH83" t="n">
        <f>O83*W83</f>
        <v>0</v>
      </c>
      <c r="BI83" t="n">
        <f>P83*W83</f>
        <v>0</v>
      </c>
      <c r="BJ83" t="n">
        <f>Q83*W83</f>
        <v>0</v>
      </c>
    </row>
    <row r="84">
      <c r="A84" t="n">
        <f>Charges!A84</f>
        <v>0</v>
      </c>
      <c r="B84" t="n">
        <f>Charges!C84</f>
        <v>0</v>
      </c>
      <c r="C84" t="str">
        <f>Charges!D84</f>
        <v/>
      </c>
      <c r="E84" t="n">
        <f>IF(1&lt;=Paramètres!$B$9,MAX(0,IFERROR(N(IF(ISNUMBER(Charges!F84),MAX(0,Charges!F84),IFERROR(VLOOKUP(Charges!F84,Paramètres!$A$15:$B$18,2,FALSE),0))),0)),0)</f>
        <v>0</v>
      </c>
      <c r="F84" t="n">
        <f>IF(2&lt;=Paramètres!$B$9,MAX(0,IFERROR(N(IF(ISNUMBER(Charges!G84),MAX(0,Charges!G84),IFERROR(VLOOKUP(Charges!G84,Paramètres!$A$15:$B$18,2,FALSE),0))),0)),0)</f>
        <v>0</v>
      </c>
      <c r="G84" t="n">
        <f>IF(3&lt;=Paramètres!$B$9,MAX(0,IFERROR(N(IF(ISNUMBER(Charges!H84),MAX(0,Charges!H84),IFERROR(VLOOKUP(Charges!H84,Paramètres!$A$15:$B$18,2,FALSE),0))),0)),0)</f>
        <v>0</v>
      </c>
      <c r="H84" t="n">
        <f>IF(4&lt;=Paramètres!$B$9,MAX(0,IFERROR(N(IF(ISNUMBER(Charges!I84),MAX(0,Charges!I84),IFERROR(VLOOKUP(Charges!I84,Paramètres!$A$15:$B$18,2,FALSE),0))),0)),0)</f>
        <v>0</v>
      </c>
      <c r="I84" t="n">
        <f>IF(5&lt;=Paramètres!$B$9,MAX(0,IFERROR(N(IF(ISNUMBER(Charges!J84),MAX(0,Charges!J84),IFERROR(VLOOKUP(Charges!J84,Paramètres!$A$15:$B$18,2,FALSE),0))),0)),0)</f>
        <v>0</v>
      </c>
      <c r="J84" t="n">
        <f>IF(6&lt;=Paramètres!$B$9,MAX(0,IFERROR(N(IF(ISNUMBER(Charges!K84),MAX(0,Charges!K84),IFERROR(VLOOKUP(Charges!K84,Paramètres!$A$15:$B$18,2,FALSE),0))),0)),0)</f>
        <v>0</v>
      </c>
      <c r="K84" t="n">
        <f>IF(7&lt;=Paramètres!$B$9,MAX(0,IFERROR(N(IF(ISNUMBER(Charges!L84),MAX(0,Charges!L84),IFERROR(VLOOKUP(Charges!L84,Paramètres!$A$15:$B$18,2,FALSE),0))),0)),0)</f>
        <v>0</v>
      </c>
      <c r="L84" t="n">
        <f>IF(8&lt;=Paramètres!$B$9,MAX(0,IFERROR(N(IF(ISNUMBER(Charges!M84),MAX(0,Charges!M84),IFERROR(VLOOKUP(Charges!M84,Paramètres!$A$15:$B$18,2,FALSE),0))),0)),0)</f>
        <v>0</v>
      </c>
      <c r="M84" t="n">
        <f>IF(9&lt;=Paramètres!$B$9,MAX(0,IFERROR(N(IF(ISNUMBER(Charges!N84),MAX(0,Charges!N84),IFERROR(VLOOKUP(Charges!N84,Paramètres!$A$15:$B$18,2,FALSE),0))),0)),0)</f>
        <v>0</v>
      </c>
      <c r="N84" t="n">
        <f>IF(10&lt;=Paramètres!$B$9,MAX(0,IFERROR(N(IF(ISNUMBER(Charges!O84),MAX(0,Charges!O84),IFERROR(VLOOKUP(Charges!O84,Paramètres!$A$15:$B$18,2,FALSE),0))),0)),0)</f>
        <v>0</v>
      </c>
      <c r="O84" t="n">
        <f>IF(11&lt;=Paramètres!$B$9,MAX(0,IFERROR(N(IF(ISNUMBER(Charges!P84),MAX(0,Charges!P84),IFERROR(VLOOKUP(Charges!P84,Paramètres!$A$15:$B$18,2,FALSE),0))),0)),0)</f>
        <v>0</v>
      </c>
      <c r="P84" t="n">
        <f>IF(12&lt;=Paramètres!$B$9,MAX(0,IFERROR(N(IF(ISNUMBER(Charges!Q84),MAX(0,Charges!Q84),IFERROR(VLOOKUP(Charges!Q84,Paramètres!$A$15:$B$18,2,FALSE),0))),0)),0)</f>
        <v>0</v>
      </c>
      <c r="Q84" t="n">
        <f>IF(13&lt;=Paramètres!$B$9,MAX(0,IFERROR(N(IF(ISNUMBER(Charges!R84),MAX(0,Charges!R84),IFERROR(VLOOKUP(Charges!R84,Paramètres!$A$15:$B$18,2,FALSE),0))),0)),0)</f>
        <v>0</v>
      </c>
      <c r="R84" t="n">
        <f>SUM(E84:Q84)</f>
        <v>0</v>
      </c>
      <c r="S84" t="n">
        <f>IF(IFERROR(VLOOKUP(A84,'Projets'!$A$8:$Z$67,7,FALSE),"")="Engager",1,0)</f>
        <v>0</v>
      </c>
      <c r="T84" t="n">
        <f>IF(OR(Charges!F84="",AND(ISNUMBER(Charges!F84),Charges!F84&gt;=0),Charges!F84="S",Charges!F84="M",Charges!F84="L",Charges!F84="XL"),0,1)+IF(OR(Charges!G84="",AND(ISNUMBER(Charges!G84),Charges!G84&gt;=0),Charges!G84="S",Charges!G84="M",Charges!G84="L",Charges!G84="XL"),0,1)+IF(OR(Charges!H84="",AND(ISNUMBER(Charges!H84),Charges!H84&gt;=0),Charges!H84="S",Charges!H84="M",Charges!H84="L",Charges!H84="XL"),0,1)+IF(OR(Charges!I84="",AND(ISNUMBER(Charges!I84),Charges!I84&gt;=0),Charges!I84="S",Charges!I84="M",Charges!I84="L",Charges!I84="XL"),0,1)+IF(OR(Charges!J84="",AND(ISNUMBER(Charges!J84),Charges!J84&gt;=0),Charges!J84="S",Charges!J84="M",Charges!J84="L",Charges!J84="XL"),0,1)+IF(OR(Charges!K84="",AND(ISNUMBER(Charges!K84),Charges!K84&gt;=0),Charges!K84="S",Charges!K84="M",Charges!K84="L",Charges!K84="XL"),0,1)+IF(OR(Charges!L84="",AND(ISNUMBER(Charges!L84),Charges!L84&gt;=0),Charges!L84="S",Charges!L84="M",Charges!L84="L",Charges!L84="XL"),0,1)+IF(OR(Charges!M84="",AND(ISNUMBER(Charges!M84),Charges!M84&gt;=0),Charges!M84="S",Charges!M84="M",Charges!M84="L",Charges!M84="XL"),0,1)+IF(OR(Charges!N84="",AND(ISNUMBER(Charges!N84),Charges!N84&gt;=0),Charges!N84="S",Charges!N84="M",Charges!N84="L",Charges!N84="XL"),0,1)+IF(OR(Charges!O84="",AND(ISNUMBER(Charges!O84),Charges!O84&gt;=0),Charges!O84="S",Charges!O84="M",Charges!O84="L",Charges!O84="XL"),0,1)+IF(OR(Charges!P84="",AND(ISNUMBER(Charges!P84),Charges!P84&gt;=0),Charges!P84="S",Charges!P84="M",Charges!P84="L",Charges!P84="XL"),0,1)+IF(OR(Charges!Q84="",AND(ISNUMBER(Charges!Q84),Charges!Q84&gt;=0),Charges!Q84="S",Charges!Q84="M",Charges!Q84="L",Charges!Q84="XL"),0,1)+IF(OR(Charges!R84="",AND(ISNUMBER(Charges!R84),Charges!R84&gt;=0),Charges!R84="S",Charges!R84="M",Charges!R84="L",Charges!R84="XL"),0,1)</f>
        <v>0</v>
      </c>
      <c r="U84" t="n">
        <f>IF(AND(1&gt;Paramètres!$B$9,Charges!F84&lt;&gt;"",Charges!F84&lt;&gt;0),1,0)+IF(AND(2&gt;Paramètres!$B$9,Charges!G84&lt;&gt;"",Charges!G84&lt;&gt;0),1,0)+IF(AND(3&gt;Paramètres!$B$9,Charges!H84&lt;&gt;"",Charges!H84&lt;&gt;0),1,0)+IF(AND(4&gt;Paramètres!$B$9,Charges!I84&lt;&gt;"",Charges!I84&lt;&gt;0),1,0)+IF(AND(5&gt;Paramètres!$B$9,Charges!J84&lt;&gt;"",Charges!J84&lt;&gt;0),1,0)+IF(AND(6&gt;Paramètres!$B$9,Charges!K84&lt;&gt;"",Charges!K84&lt;&gt;0),1,0)+IF(AND(7&gt;Paramètres!$B$9,Charges!L84&lt;&gt;"",Charges!L84&lt;&gt;0),1,0)+IF(AND(8&gt;Paramètres!$B$9,Charges!M84&lt;&gt;"",Charges!M84&lt;&gt;0),1,0)+IF(AND(9&gt;Paramètres!$B$9,Charges!N84&lt;&gt;"",Charges!N84&lt;&gt;0),1,0)+IF(AND(10&gt;Paramètres!$B$9,Charges!O84&lt;&gt;"",Charges!O84&lt;&gt;0),1,0)+IF(AND(11&gt;Paramètres!$B$9,Charges!P84&lt;&gt;"",Charges!P84&lt;&gt;0),1,0)+IF(AND(12&gt;Paramètres!$B$9,Charges!Q84&lt;&gt;"",Charges!Q84&lt;&gt;0),1,0)+IF(AND(13&gt;Paramètres!$B$9,Charges!R84&lt;&gt;"",Charges!R84&lt;&gt;0),1,0)</f>
        <v>0</v>
      </c>
      <c r="V84" t="n">
        <f>IF(IFERROR(VLOOKUP(A84,'Projets'!$A$8:$Z$67,5,FALSE),"")="Engager",1,0)</f>
        <v>0</v>
      </c>
      <c r="W84" t="n">
        <f>IF(IFERROR(VLOOKUP(A84,'Projets'!$A$8:$Z$67,6,FALSE),"")="Engager",1,0)</f>
        <v>0</v>
      </c>
      <c r="X84" t="n">
        <f>E84*S84</f>
        <v>0</v>
      </c>
      <c r="Y84" t="n">
        <f>F84*S84</f>
        <v>0</v>
      </c>
      <c r="Z84" t="n">
        <f>G84*S84</f>
        <v>0</v>
      </c>
      <c r="AA84" t="n">
        <f>H84*S84</f>
        <v>0</v>
      </c>
      <c r="AB84" t="n">
        <f>I84*S84</f>
        <v>0</v>
      </c>
      <c r="AC84" t="n">
        <f>J84*S84</f>
        <v>0</v>
      </c>
      <c r="AD84" t="n">
        <f>K84*S84</f>
        <v>0</v>
      </c>
      <c r="AE84" t="n">
        <f>L84*S84</f>
        <v>0</v>
      </c>
      <c r="AF84" t="n">
        <f>M84*S84</f>
        <v>0</v>
      </c>
      <c r="AG84" t="n">
        <f>N84*S84</f>
        <v>0</v>
      </c>
      <c r="AH84" t="n">
        <f>O84*S84</f>
        <v>0</v>
      </c>
      <c r="AI84" t="n">
        <f>P84*S84</f>
        <v>0</v>
      </c>
      <c r="AJ84" t="n">
        <f>Q84*S84</f>
        <v>0</v>
      </c>
      <c r="AK84" t="n">
        <f>E84*V84</f>
        <v>0</v>
      </c>
      <c r="AL84" t="n">
        <f>F84*V84</f>
        <v>0</v>
      </c>
      <c r="AM84" t="n">
        <f>G84*V84</f>
        <v>0</v>
      </c>
      <c r="AN84" t="n">
        <f>H84*V84</f>
        <v>0</v>
      </c>
      <c r="AO84" t="n">
        <f>I84*V84</f>
        <v>0</v>
      </c>
      <c r="AP84" t="n">
        <f>J84*V84</f>
        <v>0</v>
      </c>
      <c r="AQ84" t="n">
        <f>K84*V84</f>
        <v>0</v>
      </c>
      <c r="AR84" t="n">
        <f>L84*V84</f>
        <v>0</v>
      </c>
      <c r="AS84" t="n">
        <f>M84*V84</f>
        <v>0</v>
      </c>
      <c r="AT84" t="n">
        <f>N84*V84</f>
        <v>0</v>
      </c>
      <c r="AU84" t="n">
        <f>O84*V84</f>
        <v>0</v>
      </c>
      <c r="AV84" t="n">
        <f>P84*V84</f>
        <v>0</v>
      </c>
      <c r="AW84" t="n">
        <f>Q84*V84</f>
        <v>0</v>
      </c>
      <c r="AX84" t="n">
        <f>E84*W84</f>
        <v>0</v>
      </c>
      <c r="AY84" t="n">
        <f>F84*W84</f>
        <v>0</v>
      </c>
      <c r="AZ84" t="n">
        <f>G84*W84</f>
        <v>0</v>
      </c>
      <c r="BA84" t="n">
        <f>H84*W84</f>
        <v>0</v>
      </c>
      <c r="BB84" t="n">
        <f>I84*W84</f>
        <v>0</v>
      </c>
      <c r="BC84" t="n">
        <f>J84*W84</f>
        <v>0</v>
      </c>
      <c r="BD84" t="n">
        <f>K84*W84</f>
        <v>0</v>
      </c>
      <c r="BE84" t="n">
        <f>L84*W84</f>
        <v>0</v>
      </c>
      <c r="BF84" t="n">
        <f>M84*W84</f>
        <v>0</v>
      </c>
      <c r="BG84" t="n">
        <f>N84*W84</f>
        <v>0</v>
      </c>
      <c r="BH84" t="n">
        <f>O84*W84</f>
        <v>0</v>
      </c>
      <c r="BI84" t="n">
        <f>P84*W84</f>
        <v>0</v>
      </c>
      <c r="BJ84" t="n">
        <f>Q84*W84</f>
        <v>0</v>
      </c>
    </row>
    <row r="85">
      <c r="A85" t="n">
        <f>Charges!A85</f>
        <v>0</v>
      </c>
      <c r="B85" t="n">
        <f>Charges!C85</f>
        <v>0</v>
      </c>
      <c r="C85" t="str">
        <f>Charges!D85</f>
        <v/>
      </c>
      <c r="E85" t="n">
        <f>IF(1&lt;=Paramètres!$B$9,MAX(0,IFERROR(N(IF(ISNUMBER(Charges!F85),MAX(0,Charges!F85),IFERROR(VLOOKUP(Charges!F85,Paramètres!$A$15:$B$18,2,FALSE),0))),0)),0)</f>
        <v>0</v>
      </c>
      <c r="F85" t="n">
        <f>IF(2&lt;=Paramètres!$B$9,MAX(0,IFERROR(N(IF(ISNUMBER(Charges!G85),MAX(0,Charges!G85),IFERROR(VLOOKUP(Charges!G85,Paramètres!$A$15:$B$18,2,FALSE),0))),0)),0)</f>
        <v>0</v>
      </c>
      <c r="G85" t="n">
        <f>IF(3&lt;=Paramètres!$B$9,MAX(0,IFERROR(N(IF(ISNUMBER(Charges!H85),MAX(0,Charges!H85),IFERROR(VLOOKUP(Charges!H85,Paramètres!$A$15:$B$18,2,FALSE),0))),0)),0)</f>
        <v>0</v>
      </c>
      <c r="H85" t="n">
        <f>IF(4&lt;=Paramètres!$B$9,MAX(0,IFERROR(N(IF(ISNUMBER(Charges!I85),MAX(0,Charges!I85),IFERROR(VLOOKUP(Charges!I85,Paramètres!$A$15:$B$18,2,FALSE),0))),0)),0)</f>
        <v>0</v>
      </c>
      <c r="I85" t="n">
        <f>IF(5&lt;=Paramètres!$B$9,MAX(0,IFERROR(N(IF(ISNUMBER(Charges!J85),MAX(0,Charges!J85),IFERROR(VLOOKUP(Charges!J85,Paramètres!$A$15:$B$18,2,FALSE),0))),0)),0)</f>
        <v>0</v>
      </c>
      <c r="J85" t="n">
        <f>IF(6&lt;=Paramètres!$B$9,MAX(0,IFERROR(N(IF(ISNUMBER(Charges!K85),MAX(0,Charges!K85),IFERROR(VLOOKUP(Charges!K85,Paramètres!$A$15:$B$18,2,FALSE),0))),0)),0)</f>
        <v>0</v>
      </c>
      <c r="K85" t="n">
        <f>IF(7&lt;=Paramètres!$B$9,MAX(0,IFERROR(N(IF(ISNUMBER(Charges!L85),MAX(0,Charges!L85),IFERROR(VLOOKUP(Charges!L85,Paramètres!$A$15:$B$18,2,FALSE),0))),0)),0)</f>
        <v>0</v>
      </c>
      <c r="L85" t="n">
        <f>IF(8&lt;=Paramètres!$B$9,MAX(0,IFERROR(N(IF(ISNUMBER(Charges!M85),MAX(0,Charges!M85),IFERROR(VLOOKUP(Charges!M85,Paramètres!$A$15:$B$18,2,FALSE),0))),0)),0)</f>
        <v>0</v>
      </c>
      <c r="M85" t="n">
        <f>IF(9&lt;=Paramètres!$B$9,MAX(0,IFERROR(N(IF(ISNUMBER(Charges!N85),MAX(0,Charges!N85),IFERROR(VLOOKUP(Charges!N85,Paramètres!$A$15:$B$18,2,FALSE),0))),0)),0)</f>
        <v>0</v>
      </c>
      <c r="N85" t="n">
        <f>IF(10&lt;=Paramètres!$B$9,MAX(0,IFERROR(N(IF(ISNUMBER(Charges!O85),MAX(0,Charges!O85),IFERROR(VLOOKUP(Charges!O85,Paramètres!$A$15:$B$18,2,FALSE),0))),0)),0)</f>
        <v>0</v>
      </c>
      <c r="O85" t="n">
        <f>IF(11&lt;=Paramètres!$B$9,MAX(0,IFERROR(N(IF(ISNUMBER(Charges!P85),MAX(0,Charges!P85),IFERROR(VLOOKUP(Charges!P85,Paramètres!$A$15:$B$18,2,FALSE),0))),0)),0)</f>
        <v>0</v>
      </c>
      <c r="P85" t="n">
        <f>IF(12&lt;=Paramètres!$B$9,MAX(0,IFERROR(N(IF(ISNUMBER(Charges!Q85),MAX(0,Charges!Q85),IFERROR(VLOOKUP(Charges!Q85,Paramètres!$A$15:$B$18,2,FALSE),0))),0)),0)</f>
        <v>0</v>
      </c>
      <c r="Q85" t="n">
        <f>IF(13&lt;=Paramètres!$B$9,MAX(0,IFERROR(N(IF(ISNUMBER(Charges!R85),MAX(0,Charges!R85),IFERROR(VLOOKUP(Charges!R85,Paramètres!$A$15:$B$18,2,FALSE),0))),0)),0)</f>
        <v>0</v>
      </c>
      <c r="R85" t="n">
        <f>SUM(E85:Q85)</f>
        <v>0</v>
      </c>
      <c r="S85" t="n">
        <f>IF(IFERROR(VLOOKUP(A85,'Projets'!$A$8:$Z$67,7,FALSE),"")="Engager",1,0)</f>
        <v>0</v>
      </c>
      <c r="T85" t="n">
        <f>IF(OR(Charges!F85="",AND(ISNUMBER(Charges!F85),Charges!F85&gt;=0),Charges!F85="S",Charges!F85="M",Charges!F85="L",Charges!F85="XL"),0,1)+IF(OR(Charges!G85="",AND(ISNUMBER(Charges!G85),Charges!G85&gt;=0),Charges!G85="S",Charges!G85="M",Charges!G85="L",Charges!G85="XL"),0,1)+IF(OR(Charges!H85="",AND(ISNUMBER(Charges!H85),Charges!H85&gt;=0),Charges!H85="S",Charges!H85="M",Charges!H85="L",Charges!H85="XL"),0,1)+IF(OR(Charges!I85="",AND(ISNUMBER(Charges!I85),Charges!I85&gt;=0),Charges!I85="S",Charges!I85="M",Charges!I85="L",Charges!I85="XL"),0,1)+IF(OR(Charges!J85="",AND(ISNUMBER(Charges!J85),Charges!J85&gt;=0),Charges!J85="S",Charges!J85="M",Charges!J85="L",Charges!J85="XL"),0,1)+IF(OR(Charges!K85="",AND(ISNUMBER(Charges!K85),Charges!K85&gt;=0),Charges!K85="S",Charges!K85="M",Charges!K85="L",Charges!K85="XL"),0,1)+IF(OR(Charges!L85="",AND(ISNUMBER(Charges!L85),Charges!L85&gt;=0),Charges!L85="S",Charges!L85="M",Charges!L85="L",Charges!L85="XL"),0,1)+IF(OR(Charges!M85="",AND(ISNUMBER(Charges!M85),Charges!M85&gt;=0),Charges!M85="S",Charges!M85="M",Charges!M85="L",Charges!M85="XL"),0,1)+IF(OR(Charges!N85="",AND(ISNUMBER(Charges!N85),Charges!N85&gt;=0),Charges!N85="S",Charges!N85="M",Charges!N85="L",Charges!N85="XL"),0,1)+IF(OR(Charges!O85="",AND(ISNUMBER(Charges!O85),Charges!O85&gt;=0),Charges!O85="S",Charges!O85="M",Charges!O85="L",Charges!O85="XL"),0,1)+IF(OR(Charges!P85="",AND(ISNUMBER(Charges!P85),Charges!P85&gt;=0),Charges!P85="S",Charges!P85="M",Charges!P85="L",Charges!P85="XL"),0,1)+IF(OR(Charges!Q85="",AND(ISNUMBER(Charges!Q85),Charges!Q85&gt;=0),Charges!Q85="S",Charges!Q85="M",Charges!Q85="L",Charges!Q85="XL"),0,1)+IF(OR(Charges!R85="",AND(ISNUMBER(Charges!R85),Charges!R85&gt;=0),Charges!R85="S",Charges!R85="M",Charges!R85="L",Charges!R85="XL"),0,1)</f>
        <v>0</v>
      </c>
      <c r="U85" t="n">
        <f>IF(AND(1&gt;Paramètres!$B$9,Charges!F85&lt;&gt;"",Charges!F85&lt;&gt;0),1,0)+IF(AND(2&gt;Paramètres!$B$9,Charges!G85&lt;&gt;"",Charges!G85&lt;&gt;0),1,0)+IF(AND(3&gt;Paramètres!$B$9,Charges!H85&lt;&gt;"",Charges!H85&lt;&gt;0),1,0)+IF(AND(4&gt;Paramètres!$B$9,Charges!I85&lt;&gt;"",Charges!I85&lt;&gt;0),1,0)+IF(AND(5&gt;Paramètres!$B$9,Charges!J85&lt;&gt;"",Charges!J85&lt;&gt;0),1,0)+IF(AND(6&gt;Paramètres!$B$9,Charges!K85&lt;&gt;"",Charges!K85&lt;&gt;0),1,0)+IF(AND(7&gt;Paramètres!$B$9,Charges!L85&lt;&gt;"",Charges!L85&lt;&gt;0),1,0)+IF(AND(8&gt;Paramètres!$B$9,Charges!M85&lt;&gt;"",Charges!M85&lt;&gt;0),1,0)+IF(AND(9&gt;Paramètres!$B$9,Charges!N85&lt;&gt;"",Charges!N85&lt;&gt;0),1,0)+IF(AND(10&gt;Paramètres!$B$9,Charges!O85&lt;&gt;"",Charges!O85&lt;&gt;0),1,0)+IF(AND(11&gt;Paramètres!$B$9,Charges!P85&lt;&gt;"",Charges!P85&lt;&gt;0),1,0)+IF(AND(12&gt;Paramètres!$B$9,Charges!Q85&lt;&gt;"",Charges!Q85&lt;&gt;0),1,0)+IF(AND(13&gt;Paramètres!$B$9,Charges!R85&lt;&gt;"",Charges!R85&lt;&gt;0),1,0)</f>
        <v>0</v>
      </c>
      <c r="V85" t="n">
        <f>IF(IFERROR(VLOOKUP(A85,'Projets'!$A$8:$Z$67,5,FALSE),"")="Engager",1,0)</f>
        <v>0</v>
      </c>
      <c r="W85" t="n">
        <f>IF(IFERROR(VLOOKUP(A85,'Projets'!$A$8:$Z$67,6,FALSE),"")="Engager",1,0)</f>
        <v>0</v>
      </c>
      <c r="X85" t="n">
        <f>E85*S85</f>
        <v>0</v>
      </c>
      <c r="Y85" t="n">
        <f>F85*S85</f>
        <v>0</v>
      </c>
      <c r="Z85" t="n">
        <f>G85*S85</f>
        <v>0</v>
      </c>
      <c r="AA85" t="n">
        <f>H85*S85</f>
        <v>0</v>
      </c>
      <c r="AB85" t="n">
        <f>I85*S85</f>
        <v>0</v>
      </c>
      <c r="AC85" t="n">
        <f>J85*S85</f>
        <v>0</v>
      </c>
      <c r="AD85" t="n">
        <f>K85*S85</f>
        <v>0</v>
      </c>
      <c r="AE85" t="n">
        <f>L85*S85</f>
        <v>0</v>
      </c>
      <c r="AF85" t="n">
        <f>M85*S85</f>
        <v>0</v>
      </c>
      <c r="AG85" t="n">
        <f>N85*S85</f>
        <v>0</v>
      </c>
      <c r="AH85" t="n">
        <f>O85*S85</f>
        <v>0</v>
      </c>
      <c r="AI85" t="n">
        <f>P85*S85</f>
        <v>0</v>
      </c>
      <c r="AJ85" t="n">
        <f>Q85*S85</f>
        <v>0</v>
      </c>
      <c r="AK85" t="n">
        <f>E85*V85</f>
        <v>0</v>
      </c>
      <c r="AL85" t="n">
        <f>F85*V85</f>
        <v>0</v>
      </c>
      <c r="AM85" t="n">
        <f>G85*V85</f>
        <v>0</v>
      </c>
      <c r="AN85" t="n">
        <f>H85*V85</f>
        <v>0</v>
      </c>
      <c r="AO85" t="n">
        <f>I85*V85</f>
        <v>0</v>
      </c>
      <c r="AP85" t="n">
        <f>J85*V85</f>
        <v>0</v>
      </c>
      <c r="AQ85" t="n">
        <f>K85*V85</f>
        <v>0</v>
      </c>
      <c r="AR85" t="n">
        <f>L85*V85</f>
        <v>0</v>
      </c>
      <c r="AS85" t="n">
        <f>M85*V85</f>
        <v>0</v>
      </c>
      <c r="AT85" t="n">
        <f>N85*V85</f>
        <v>0</v>
      </c>
      <c r="AU85" t="n">
        <f>O85*V85</f>
        <v>0</v>
      </c>
      <c r="AV85" t="n">
        <f>P85*V85</f>
        <v>0</v>
      </c>
      <c r="AW85" t="n">
        <f>Q85*V85</f>
        <v>0</v>
      </c>
      <c r="AX85" t="n">
        <f>E85*W85</f>
        <v>0</v>
      </c>
      <c r="AY85" t="n">
        <f>F85*W85</f>
        <v>0</v>
      </c>
      <c r="AZ85" t="n">
        <f>G85*W85</f>
        <v>0</v>
      </c>
      <c r="BA85" t="n">
        <f>H85*W85</f>
        <v>0</v>
      </c>
      <c r="BB85" t="n">
        <f>I85*W85</f>
        <v>0</v>
      </c>
      <c r="BC85" t="n">
        <f>J85*W85</f>
        <v>0</v>
      </c>
      <c r="BD85" t="n">
        <f>K85*W85</f>
        <v>0</v>
      </c>
      <c r="BE85" t="n">
        <f>L85*W85</f>
        <v>0</v>
      </c>
      <c r="BF85" t="n">
        <f>M85*W85</f>
        <v>0</v>
      </c>
      <c r="BG85" t="n">
        <f>N85*W85</f>
        <v>0</v>
      </c>
      <c r="BH85" t="n">
        <f>O85*W85</f>
        <v>0</v>
      </c>
      <c r="BI85" t="n">
        <f>P85*W85</f>
        <v>0</v>
      </c>
      <c r="BJ85" t="n">
        <f>Q85*W85</f>
        <v>0</v>
      </c>
    </row>
    <row r="86">
      <c r="A86" t="n">
        <f>Charges!A86</f>
        <v>0</v>
      </c>
      <c r="B86" t="n">
        <f>Charges!C86</f>
        <v>0</v>
      </c>
      <c r="C86" t="str">
        <f>Charges!D86</f>
        <v/>
      </c>
      <c r="E86" t="n">
        <f>IF(1&lt;=Paramètres!$B$9,MAX(0,IFERROR(N(IF(ISNUMBER(Charges!F86),MAX(0,Charges!F86),IFERROR(VLOOKUP(Charges!F86,Paramètres!$A$15:$B$18,2,FALSE),0))),0)),0)</f>
        <v>0</v>
      </c>
      <c r="F86" t="n">
        <f>IF(2&lt;=Paramètres!$B$9,MAX(0,IFERROR(N(IF(ISNUMBER(Charges!G86),MAX(0,Charges!G86),IFERROR(VLOOKUP(Charges!G86,Paramètres!$A$15:$B$18,2,FALSE),0))),0)),0)</f>
        <v>0</v>
      </c>
      <c r="G86" t="n">
        <f>IF(3&lt;=Paramètres!$B$9,MAX(0,IFERROR(N(IF(ISNUMBER(Charges!H86),MAX(0,Charges!H86),IFERROR(VLOOKUP(Charges!H86,Paramètres!$A$15:$B$18,2,FALSE),0))),0)),0)</f>
        <v>0</v>
      </c>
      <c r="H86" t="n">
        <f>IF(4&lt;=Paramètres!$B$9,MAX(0,IFERROR(N(IF(ISNUMBER(Charges!I86),MAX(0,Charges!I86),IFERROR(VLOOKUP(Charges!I86,Paramètres!$A$15:$B$18,2,FALSE),0))),0)),0)</f>
        <v>0</v>
      </c>
      <c r="I86" t="n">
        <f>IF(5&lt;=Paramètres!$B$9,MAX(0,IFERROR(N(IF(ISNUMBER(Charges!J86),MAX(0,Charges!J86),IFERROR(VLOOKUP(Charges!J86,Paramètres!$A$15:$B$18,2,FALSE),0))),0)),0)</f>
        <v>0</v>
      </c>
      <c r="J86" t="n">
        <f>IF(6&lt;=Paramètres!$B$9,MAX(0,IFERROR(N(IF(ISNUMBER(Charges!K86),MAX(0,Charges!K86),IFERROR(VLOOKUP(Charges!K86,Paramètres!$A$15:$B$18,2,FALSE),0))),0)),0)</f>
        <v>0</v>
      </c>
      <c r="K86" t="n">
        <f>IF(7&lt;=Paramètres!$B$9,MAX(0,IFERROR(N(IF(ISNUMBER(Charges!L86),MAX(0,Charges!L86),IFERROR(VLOOKUP(Charges!L86,Paramètres!$A$15:$B$18,2,FALSE),0))),0)),0)</f>
        <v>0</v>
      </c>
      <c r="L86" t="n">
        <f>IF(8&lt;=Paramètres!$B$9,MAX(0,IFERROR(N(IF(ISNUMBER(Charges!M86),MAX(0,Charges!M86),IFERROR(VLOOKUP(Charges!M86,Paramètres!$A$15:$B$18,2,FALSE),0))),0)),0)</f>
        <v>0</v>
      </c>
      <c r="M86" t="n">
        <f>IF(9&lt;=Paramètres!$B$9,MAX(0,IFERROR(N(IF(ISNUMBER(Charges!N86),MAX(0,Charges!N86),IFERROR(VLOOKUP(Charges!N86,Paramètres!$A$15:$B$18,2,FALSE),0))),0)),0)</f>
        <v>0</v>
      </c>
      <c r="N86" t="n">
        <f>IF(10&lt;=Paramètres!$B$9,MAX(0,IFERROR(N(IF(ISNUMBER(Charges!O86),MAX(0,Charges!O86),IFERROR(VLOOKUP(Charges!O86,Paramètres!$A$15:$B$18,2,FALSE),0))),0)),0)</f>
        <v>0</v>
      </c>
      <c r="O86" t="n">
        <f>IF(11&lt;=Paramètres!$B$9,MAX(0,IFERROR(N(IF(ISNUMBER(Charges!P86),MAX(0,Charges!P86),IFERROR(VLOOKUP(Charges!P86,Paramètres!$A$15:$B$18,2,FALSE),0))),0)),0)</f>
        <v>0</v>
      </c>
      <c r="P86" t="n">
        <f>IF(12&lt;=Paramètres!$B$9,MAX(0,IFERROR(N(IF(ISNUMBER(Charges!Q86),MAX(0,Charges!Q86),IFERROR(VLOOKUP(Charges!Q86,Paramètres!$A$15:$B$18,2,FALSE),0))),0)),0)</f>
        <v>0</v>
      </c>
      <c r="Q86" t="n">
        <f>IF(13&lt;=Paramètres!$B$9,MAX(0,IFERROR(N(IF(ISNUMBER(Charges!R86),MAX(0,Charges!R86),IFERROR(VLOOKUP(Charges!R86,Paramètres!$A$15:$B$18,2,FALSE),0))),0)),0)</f>
        <v>0</v>
      </c>
      <c r="R86" t="n">
        <f>SUM(E86:Q86)</f>
        <v>0</v>
      </c>
      <c r="S86" t="n">
        <f>IF(IFERROR(VLOOKUP(A86,'Projets'!$A$8:$Z$67,7,FALSE),"")="Engager",1,0)</f>
        <v>0</v>
      </c>
      <c r="T86" t="n">
        <f>IF(OR(Charges!F86="",AND(ISNUMBER(Charges!F86),Charges!F86&gt;=0),Charges!F86="S",Charges!F86="M",Charges!F86="L",Charges!F86="XL"),0,1)+IF(OR(Charges!G86="",AND(ISNUMBER(Charges!G86),Charges!G86&gt;=0),Charges!G86="S",Charges!G86="M",Charges!G86="L",Charges!G86="XL"),0,1)+IF(OR(Charges!H86="",AND(ISNUMBER(Charges!H86),Charges!H86&gt;=0),Charges!H86="S",Charges!H86="M",Charges!H86="L",Charges!H86="XL"),0,1)+IF(OR(Charges!I86="",AND(ISNUMBER(Charges!I86),Charges!I86&gt;=0),Charges!I86="S",Charges!I86="M",Charges!I86="L",Charges!I86="XL"),0,1)+IF(OR(Charges!J86="",AND(ISNUMBER(Charges!J86),Charges!J86&gt;=0),Charges!J86="S",Charges!J86="M",Charges!J86="L",Charges!J86="XL"),0,1)+IF(OR(Charges!K86="",AND(ISNUMBER(Charges!K86),Charges!K86&gt;=0),Charges!K86="S",Charges!K86="M",Charges!K86="L",Charges!K86="XL"),0,1)+IF(OR(Charges!L86="",AND(ISNUMBER(Charges!L86),Charges!L86&gt;=0),Charges!L86="S",Charges!L86="M",Charges!L86="L",Charges!L86="XL"),0,1)+IF(OR(Charges!M86="",AND(ISNUMBER(Charges!M86),Charges!M86&gt;=0),Charges!M86="S",Charges!M86="M",Charges!M86="L",Charges!M86="XL"),0,1)+IF(OR(Charges!N86="",AND(ISNUMBER(Charges!N86),Charges!N86&gt;=0),Charges!N86="S",Charges!N86="M",Charges!N86="L",Charges!N86="XL"),0,1)+IF(OR(Charges!O86="",AND(ISNUMBER(Charges!O86),Charges!O86&gt;=0),Charges!O86="S",Charges!O86="M",Charges!O86="L",Charges!O86="XL"),0,1)+IF(OR(Charges!P86="",AND(ISNUMBER(Charges!P86),Charges!P86&gt;=0),Charges!P86="S",Charges!P86="M",Charges!P86="L",Charges!P86="XL"),0,1)+IF(OR(Charges!Q86="",AND(ISNUMBER(Charges!Q86),Charges!Q86&gt;=0),Charges!Q86="S",Charges!Q86="M",Charges!Q86="L",Charges!Q86="XL"),0,1)+IF(OR(Charges!R86="",AND(ISNUMBER(Charges!R86),Charges!R86&gt;=0),Charges!R86="S",Charges!R86="M",Charges!R86="L",Charges!R86="XL"),0,1)</f>
        <v>0</v>
      </c>
      <c r="U86" t="n">
        <f>IF(AND(1&gt;Paramètres!$B$9,Charges!F86&lt;&gt;"",Charges!F86&lt;&gt;0),1,0)+IF(AND(2&gt;Paramètres!$B$9,Charges!G86&lt;&gt;"",Charges!G86&lt;&gt;0),1,0)+IF(AND(3&gt;Paramètres!$B$9,Charges!H86&lt;&gt;"",Charges!H86&lt;&gt;0),1,0)+IF(AND(4&gt;Paramètres!$B$9,Charges!I86&lt;&gt;"",Charges!I86&lt;&gt;0),1,0)+IF(AND(5&gt;Paramètres!$B$9,Charges!J86&lt;&gt;"",Charges!J86&lt;&gt;0),1,0)+IF(AND(6&gt;Paramètres!$B$9,Charges!K86&lt;&gt;"",Charges!K86&lt;&gt;0),1,0)+IF(AND(7&gt;Paramètres!$B$9,Charges!L86&lt;&gt;"",Charges!L86&lt;&gt;0),1,0)+IF(AND(8&gt;Paramètres!$B$9,Charges!M86&lt;&gt;"",Charges!M86&lt;&gt;0),1,0)+IF(AND(9&gt;Paramètres!$B$9,Charges!N86&lt;&gt;"",Charges!N86&lt;&gt;0),1,0)+IF(AND(10&gt;Paramètres!$B$9,Charges!O86&lt;&gt;"",Charges!O86&lt;&gt;0),1,0)+IF(AND(11&gt;Paramètres!$B$9,Charges!P86&lt;&gt;"",Charges!P86&lt;&gt;0),1,0)+IF(AND(12&gt;Paramètres!$B$9,Charges!Q86&lt;&gt;"",Charges!Q86&lt;&gt;0),1,0)+IF(AND(13&gt;Paramètres!$B$9,Charges!R86&lt;&gt;"",Charges!R86&lt;&gt;0),1,0)</f>
        <v>0</v>
      </c>
      <c r="V86" t="n">
        <f>IF(IFERROR(VLOOKUP(A86,'Projets'!$A$8:$Z$67,5,FALSE),"")="Engager",1,0)</f>
        <v>0</v>
      </c>
      <c r="W86" t="n">
        <f>IF(IFERROR(VLOOKUP(A86,'Projets'!$A$8:$Z$67,6,FALSE),"")="Engager",1,0)</f>
        <v>0</v>
      </c>
      <c r="X86" t="n">
        <f>E86*S86</f>
        <v>0</v>
      </c>
      <c r="Y86" t="n">
        <f>F86*S86</f>
        <v>0</v>
      </c>
      <c r="Z86" t="n">
        <f>G86*S86</f>
        <v>0</v>
      </c>
      <c r="AA86" t="n">
        <f>H86*S86</f>
        <v>0</v>
      </c>
      <c r="AB86" t="n">
        <f>I86*S86</f>
        <v>0</v>
      </c>
      <c r="AC86" t="n">
        <f>J86*S86</f>
        <v>0</v>
      </c>
      <c r="AD86" t="n">
        <f>K86*S86</f>
        <v>0</v>
      </c>
      <c r="AE86" t="n">
        <f>L86*S86</f>
        <v>0</v>
      </c>
      <c r="AF86" t="n">
        <f>M86*S86</f>
        <v>0</v>
      </c>
      <c r="AG86" t="n">
        <f>N86*S86</f>
        <v>0</v>
      </c>
      <c r="AH86" t="n">
        <f>O86*S86</f>
        <v>0</v>
      </c>
      <c r="AI86" t="n">
        <f>P86*S86</f>
        <v>0</v>
      </c>
      <c r="AJ86" t="n">
        <f>Q86*S86</f>
        <v>0</v>
      </c>
      <c r="AK86" t="n">
        <f>E86*V86</f>
        <v>0</v>
      </c>
      <c r="AL86" t="n">
        <f>F86*V86</f>
        <v>0</v>
      </c>
      <c r="AM86" t="n">
        <f>G86*V86</f>
        <v>0</v>
      </c>
      <c r="AN86" t="n">
        <f>H86*V86</f>
        <v>0</v>
      </c>
      <c r="AO86" t="n">
        <f>I86*V86</f>
        <v>0</v>
      </c>
      <c r="AP86" t="n">
        <f>J86*V86</f>
        <v>0</v>
      </c>
      <c r="AQ86" t="n">
        <f>K86*V86</f>
        <v>0</v>
      </c>
      <c r="AR86" t="n">
        <f>L86*V86</f>
        <v>0</v>
      </c>
      <c r="AS86" t="n">
        <f>M86*V86</f>
        <v>0</v>
      </c>
      <c r="AT86" t="n">
        <f>N86*V86</f>
        <v>0</v>
      </c>
      <c r="AU86" t="n">
        <f>O86*V86</f>
        <v>0</v>
      </c>
      <c r="AV86" t="n">
        <f>P86*V86</f>
        <v>0</v>
      </c>
      <c r="AW86" t="n">
        <f>Q86*V86</f>
        <v>0</v>
      </c>
      <c r="AX86" t="n">
        <f>E86*W86</f>
        <v>0</v>
      </c>
      <c r="AY86" t="n">
        <f>F86*W86</f>
        <v>0</v>
      </c>
      <c r="AZ86" t="n">
        <f>G86*W86</f>
        <v>0</v>
      </c>
      <c r="BA86" t="n">
        <f>H86*W86</f>
        <v>0</v>
      </c>
      <c r="BB86" t="n">
        <f>I86*W86</f>
        <v>0</v>
      </c>
      <c r="BC86" t="n">
        <f>J86*W86</f>
        <v>0</v>
      </c>
      <c r="BD86" t="n">
        <f>K86*W86</f>
        <v>0</v>
      </c>
      <c r="BE86" t="n">
        <f>L86*W86</f>
        <v>0</v>
      </c>
      <c r="BF86" t="n">
        <f>M86*W86</f>
        <v>0</v>
      </c>
      <c r="BG86" t="n">
        <f>N86*W86</f>
        <v>0</v>
      </c>
      <c r="BH86" t="n">
        <f>O86*W86</f>
        <v>0</v>
      </c>
      <c r="BI86" t="n">
        <f>P86*W86</f>
        <v>0</v>
      </c>
      <c r="BJ86" t="n">
        <f>Q86*W86</f>
        <v>0</v>
      </c>
    </row>
    <row r="87">
      <c r="A87" t="n">
        <f>Charges!A87</f>
        <v>0</v>
      </c>
      <c r="B87" t="n">
        <f>Charges!C87</f>
        <v>0</v>
      </c>
      <c r="C87" t="str">
        <f>Charges!D87</f>
        <v/>
      </c>
      <c r="E87" t="n">
        <f>IF(1&lt;=Paramètres!$B$9,MAX(0,IFERROR(N(IF(ISNUMBER(Charges!F87),MAX(0,Charges!F87),IFERROR(VLOOKUP(Charges!F87,Paramètres!$A$15:$B$18,2,FALSE),0))),0)),0)</f>
        <v>0</v>
      </c>
      <c r="F87" t="n">
        <f>IF(2&lt;=Paramètres!$B$9,MAX(0,IFERROR(N(IF(ISNUMBER(Charges!G87),MAX(0,Charges!G87),IFERROR(VLOOKUP(Charges!G87,Paramètres!$A$15:$B$18,2,FALSE),0))),0)),0)</f>
        <v>0</v>
      </c>
      <c r="G87" t="n">
        <f>IF(3&lt;=Paramètres!$B$9,MAX(0,IFERROR(N(IF(ISNUMBER(Charges!H87),MAX(0,Charges!H87),IFERROR(VLOOKUP(Charges!H87,Paramètres!$A$15:$B$18,2,FALSE),0))),0)),0)</f>
        <v>0</v>
      </c>
      <c r="H87" t="n">
        <f>IF(4&lt;=Paramètres!$B$9,MAX(0,IFERROR(N(IF(ISNUMBER(Charges!I87),MAX(0,Charges!I87),IFERROR(VLOOKUP(Charges!I87,Paramètres!$A$15:$B$18,2,FALSE),0))),0)),0)</f>
        <v>0</v>
      </c>
      <c r="I87" t="n">
        <f>IF(5&lt;=Paramètres!$B$9,MAX(0,IFERROR(N(IF(ISNUMBER(Charges!J87),MAX(0,Charges!J87),IFERROR(VLOOKUP(Charges!J87,Paramètres!$A$15:$B$18,2,FALSE),0))),0)),0)</f>
        <v>0</v>
      </c>
      <c r="J87" t="n">
        <f>IF(6&lt;=Paramètres!$B$9,MAX(0,IFERROR(N(IF(ISNUMBER(Charges!K87),MAX(0,Charges!K87),IFERROR(VLOOKUP(Charges!K87,Paramètres!$A$15:$B$18,2,FALSE),0))),0)),0)</f>
        <v>0</v>
      </c>
      <c r="K87" t="n">
        <f>IF(7&lt;=Paramètres!$B$9,MAX(0,IFERROR(N(IF(ISNUMBER(Charges!L87),MAX(0,Charges!L87),IFERROR(VLOOKUP(Charges!L87,Paramètres!$A$15:$B$18,2,FALSE),0))),0)),0)</f>
        <v>0</v>
      </c>
      <c r="L87" t="n">
        <f>IF(8&lt;=Paramètres!$B$9,MAX(0,IFERROR(N(IF(ISNUMBER(Charges!M87),MAX(0,Charges!M87),IFERROR(VLOOKUP(Charges!M87,Paramètres!$A$15:$B$18,2,FALSE),0))),0)),0)</f>
        <v>0</v>
      </c>
      <c r="M87" t="n">
        <f>IF(9&lt;=Paramètres!$B$9,MAX(0,IFERROR(N(IF(ISNUMBER(Charges!N87),MAX(0,Charges!N87),IFERROR(VLOOKUP(Charges!N87,Paramètres!$A$15:$B$18,2,FALSE),0))),0)),0)</f>
        <v>0</v>
      </c>
      <c r="N87" t="n">
        <f>IF(10&lt;=Paramètres!$B$9,MAX(0,IFERROR(N(IF(ISNUMBER(Charges!O87),MAX(0,Charges!O87),IFERROR(VLOOKUP(Charges!O87,Paramètres!$A$15:$B$18,2,FALSE),0))),0)),0)</f>
        <v>0</v>
      </c>
      <c r="O87" t="n">
        <f>IF(11&lt;=Paramètres!$B$9,MAX(0,IFERROR(N(IF(ISNUMBER(Charges!P87),MAX(0,Charges!P87),IFERROR(VLOOKUP(Charges!P87,Paramètres!$A$15:$B$18,2,FALSE),0))),0)),0)</f>
        <v>0</v>
      </c>
      <c r="P87" t="n">
        <f>IF(12&lt;=Paramètres!$B$9,MAX(0,IFERROR(N(IF(ISNUMBER(Charges!Q87),MAX(0,Charges!Q87),IFERROR(VLOOKUP(Charges!Q87,Paramètres!$A$15:$B$18,2,FALSE),0))),0)),0)</f>
        <v>0</v>
      </c>
      <c r="Q87" t="n">
        <f>IF(13&lt;=Paramètres!$B$9,MAX(0,IFERROR(N(IF(ISNUMBER(Charges!R87),MAX(0,Charges!R87),IFERROR(VLOOKUP(Charges!R87,Paramètres!$A$15:$B$18,2,FALSE),0))),0)),0)</f>
        <v>0</v>
      </c>
      <c r="R87" t="n">
        <f>SUM(E87:Q87)</f>
        <v>0</v>
      </c>
      <c r="S87" t="n">
        <f>IF(IFERROR(VLOOKUP(A87,'Projets'!$A$8:$Z$67,7,FALSE),"")="Engager",1,0)</f>
        <v>0</v>
      </c>
      <c r="T87" t="n">
        <f>IF(OR(Charges!F87="",AND(ISNUMBER(Charges!F87),Charges!F87&gt;=0),Charges!F87="S",Charges!F87="M",Charges!F87="L",Charges!F87="XL"),0,1)+IF(OR(Charges!G87="",AND(ISNUMBER(Charges!G87),Charges!G87&gt;=0),Charges!G87="S",Charges!G87="M",Charges!G87="L",Charges!G87="XL"),0,1)+IF(OR(Charges!H87="",AND(ISNUMBER(Charges!H87),Charges!H87&gt;=0),Charges!H87="S",Charges!H87="M",Charges!H87="L",Charges!H87="XL"),0,1)+IF(OR(Charges!I87="",AND(ISNUMBER(Charges!I87),Charges!I87&gt;=0),Charges!I87="S",Charges!I87="M",Charges!I87="L",Charges!I87="XL"),0,1)+IF(OR(Charges!J87="",AND(ISNUMBER(Charges!J87),Charges!J87&gt;=0),Charges!J87="S",Charges!J87="M",Charges!J87="L",Charges!J87="XL"),0,1)+IF(OR(Charges!K87="",AND(ISNUMBER(Charges!K87),Charges!K87&gt;=0),Charges!K87="S",Charges!K87="M",Charges!K87="L",Charges!K87="XL"),0,1)+IF(OR(Charges!L87="",AND(ISNUMBER(Charges!L87),Charges!L87&gt;=0),Charges!L87="S",Charges!L87="M",Charges!L87="L",Charges!L87="XL"),0,1)+IF(OR(Charges!M87="",AND(ISNUMBER(Charges!M87),Charges!M87&gt;=0),Charges!M87="S",Charges!M87="M",Charges!M87="L",Charges!M87="XL"),0,1)+IF(OR(Charges!N87="",AND(ISNUMBER(Charges!N87),Charges!N87&gt;=0),Charges!N87="S",Charges!N87="M",Charges!N87="L",Charges!N87="XL"),0,1)+IF(OR(Charges!O87="",AND(ISNUMBER(Charges!O87),Charges!O87&gt;=0),Charges!O87="S",Charges!O87="M",Charges!O87="L",Charges!O87="XL"),0,1)+IF(OR(Charges!P87="",AND(ISNUMBER(Charges!P87),Charges!P87&gt;=0),Charges!P87="S",Charges!P87="M",Charges!P87="L",Charges!P87="XL"),0,1)+IF(OR(Charges!Q87="",AND(ISNUMBER(Charges!Q87),Charges!Q87&gt;=0),Charges!Q87="S",Charges!Q87="M",Charges!Q87="L",Charges!Q87="XL"),0,1)+IF(OR(Charges!R87="",AND(ISNUMBER(Charges!R87),Charges!R87&gt;=0),Charges!R87="S",Charges!R87="M",Charges!R87="L",Charges!R87="XL"),0,1)</f>
        <v>0</v>
      </c>
      <c r="U87" t="n">
        <f>IF(AND(1&gt;Paramètres!$B$9,Charges!F87&lt;&gt;"",Charges!F87&lt;&gt;0),1,0)+IF(AND(2&gt;Paramètres!$B$9,Charges!G87&lt;&gt;"",Charges!G87&lt;&gt;0),1,0)+IF(AND(3&gt;Paramètres!$B$9,Charges!H87&lt;&gt;"",Charges!H87&lt;&gt;0),1,0)+IF(AND(4&gt;Paramètres!$B$9,Charges!I87&lt;&gt;"",Charges!I87&lt;&gt;0),1,0)+IF(AND(5&gt;Paramètres!$B$9,Charges!J87&lt;&gt;"",Charges!J87&lt;&gt;0),1,0)+IF(AND(6&gt;Paramètres!$B$9,Charges!K87&lt;&gt;"",Charges!K87&lt;&gt;0),1,0)+IF(AND(7&gt;Paramètres!$B$9,Charges!L87&lt;&gt;"",Charges!L87&lt;&gt;0),1,0)+IF(AND(8&gt;Paramètres!$B$9,Charges!M87&lt;&gt;"",Charges!M87&lt;&gt;0),1,0)+IF(AND(9&gt;Paramètres!$B$9,Charges!N87&lt;&gt;"",Charges!N87&lt;&gt;0),1,0)+IF(AND(10&gt;Paramètres!$B$9,Charges!O87&lt;&gt;"",Charges!O87&lt;&gt;0),1,0)+IF(AND(11&gt;Paramètres!$B$9,Charges!P87&lt;&gt;"",Charges!P87&lt;&gt;0),1,0)+IF(AND(12&gt;Paramètres!$B$9,Charges!Q87&lt;&gt;"",Charges!Q87&lt;&gt;0),1,0)+IF(AND(13&gt;Paramètres!$B$9,Charges!R87&lt;&gt;"",Charges!R87&lt;&gt;0),1,0)</f>
        <v>0</v>
      </c>
      <c r="V87" t="n">
        <f>IF(IFERROR(VLOOKUP(A87,'Projets'!$A$8:$Z$67,5,FALSE),"")="Engager",1,0)</f>
        <v>0</v>
      </c>
      <c r="W87" t="n">
        <f>IF(IFERROR(VLOOKUP(A87,'Projets'!$A$8:$Z$67,6,FALSE),"")="Engager",1,0)</f>
        <v>0</v>
      </c>
      <c r="X87" t="n">
        <f>E87*S87</f>
        <v>0</v>
      </c>
      <c r="Y87" t="n">
        <f>F87*S87</f>
        <v>0</v>
      </c>
      <c r="Z87" t="n">
        <f>G87*S87</f>
        <v>0</v>
      </c>
      <c r="AA87" t="n">
        <f>H87*S87</f>
        <v>0</v>
      </c>
      <c r="AB87" t="n">
        <f>I87*S87</f>
        <v>0</v>
      </c>
      <c r="AC87" t="n">
        <f>J87*S87</f>
        <v>0</v>
      </c>
      <c r="AD87" t="n">
        <f>K87*S87</f>
        <v>0</v>
      </c>
      <c r="AE87" t="n">
        <f>L87*S87</f>
        <v>0</v>
      </c>
      <c r="AF87" t="n">
        <f>M87*S87</f>
        <v>0</v>
      </c>
      <c r="AG87" t="n">
        <f>N87*S87</f>
        <v>0</v>
      </c>
      <c r="AH87" t="n">
        <f>O87*S87</f>
        <v>0</v>
      </c>
      <c r="AI87" t="n">
        <f>P87*S87</f>
        <v>0</v>
      </c>
      <c r="AJ87" t="n">
        <f>Q87*S87</f>
        <v>0</v>
      </c>
      <c r="AK87" t="n">
        <f>E87*V87</f>
        <v>0</v>
      </c>
      <c r="AL87" t="n">
        <f>F87*V87</f>
        <v>0</v>
      </c>
      <c r="AM87" t="n">
        <f>G87*V87</f>
        <v>0</v>
      </c>
      <c r="AN87" t="n">
        <f>H87*V87</f>
        <v>0</v>
      </c>
      <c r="AO87" t="n">
        <f>I87*V87</f>
        <v>0</v>
      </c>
      <c r="AP87" t="n">
        <f>J87*V87</f>
        <v>0</v>
      </c>
      <c r="AQ87" t="n">
        <f>K87*V87</f>
        <v>0</v>
      </c>
      <c r="AR87" t="n">
        <f>L87*V87</f>
        <v>0</v>
      </c>
      <c r="AS87" t="n">
        <f>M87*V87</f>
        <v>0</v>
      </c>
      <c r="AT87" t="n">
        <f>N87*V87</f>
        <v>0</v>
      </c>
      <c r="AU87" t="n">
        <f>O87*V87</f>
        <v>0</v>
      </c>
      <c r="AV87" t="n">
        <f>P87*V87</f>
        <v>0</v>
      </c>
      <c r="AW87" t="n">
        <f>Q87*V87</f>
        <v>0</v>
      </c>
      <c r="AX87" t="n">
        <f>E87*W87</f>
        <v>0</v>
      </c>
      <c r="AY87" t="n">
        <f>F87*W87</f>
        <v>0</v>
      </c>
      <c r="AZ87" t="n">
        <f>G87*W87</f>
        <v>0</v>
      </c>
      <c r="BA87" t="n">
        <f>H87*W87</f>
        <v>0</v>
      </c>
      <c r="BB87" t="n">
        <f>I87*W87</f>
        <v>0</v>
      </c>
      <c r="BC87" t="n">
        <f>J87*W87</f>
        <v>0</v>
      </c>
      <c r="BD87" t="n">
        <f>K87*W87</f>
        <v>0</v>
      </c>
      <c r="BE87" t="n">
        <f>L87*W87</f>
        <v>0</v>
      </c>
      <c r="BF87" t="n">
        <f>M87*W87</f>
        <v>0</v>
      </c>
      <c r="BG87" t="n">
        <f>N87*W87</f>
        <v>0</v>
      </c>
      <c r="BH87" t="n">
        <f>O87*W87</f>
        <v>0</v>
      </c>
      <c r="BI87" t="n">
        <f>P87*W87</f>
        <v>0</v>
      </c>
      <c r="BJ87" t="n">
        <f>Q87*W87</f>
        <v>0</v>
      </c>
    </row>
    <row r="88">
      <c r="A88" t="n">
        <f>Charges!A88</f>
        <v>0</v>
      </c>
      <c r="B88" t="n">
        <f>Charges!C88</f>
        <v>0</v>
      </c>
      <c r="C88" t="str">
        <f>Charges!D88</f>
        <v/>
      </c>
      <c r="E88" t="n">
        <f>IF(1&lt;=Paramètres!$B$9,MAX(0,IFERROR(N(IF(ISNUMBER(Charges!F88),MAX(0,Charges!F88),IFERROR(VLOOKUP(Charges!F88,Paramètres!$A$15:$B$18,2,FALSE),0))),0)),0)</f>
        <v>0</v>
      </c>
      <c r="F88" t="n">
        <f>IF(2&lt;=Paramètres!$B$9,MAX(0,IFERROR(N(IF(ISNUMBER(Charges!G88),MAX(0,Charges!G88),IFERROR(VLOOKUP(Charges!G88,Paramètres!$A$15:$B$18,2,FALSE),0))),0)),0)</f>
        <v>0</v>
      </c>
      <c r="G88" t="n">
        <f>IF(3&lt;=Paramètres!$B$9,MAX(0,IFERROR(N(IF(ISNUMBER(Charges!H88),MAX(0,Charges!H88),IFERROR(VLOOKUP(Charges!H88,Paramètres!$A$15:$B$18,2,FALSE),0))),0)),0)</f>
        <v>0</v>
      </c>
      <c r="H88" t="n">
        <f>IF(4&lt;=Paramètres!$B$9,MAX(0,IFERROR(N(IF(ISNUMBER(Charges!I88),MAX(0,Charges!I88),IFERROR(VLOOKUP(Charges!I88,Paramètres!$A$15:$B$18,2,FALSE),0))),0)),0)</f>
        <v>0</v>
      </c>
      <c r="I88" t="n">
        <f>IF(5&lt;=Paramètres!$B$9,MAX(0,IFERROR(N(IF(ISNUMBER(Charges!J88),MAX(0,Charges!J88),IFERROR(VLOOKUP(Charges!J88,Paramètres!$A$15:$B$18,2,FALSE),0))),0)),0)</f>
        <v>0</v>
      </c>
      <c r="J88" t="n">
        <f>IF(6&lt;=Paramètres!$B$9,MAX(0,IFERROR(N(IF(ISNUMBER(Charges!K88),MAX(0,Charges!K88),IFERROR(VLOOKUP(Charges!K88,Paramètres!$A$15:$B$18,2,FALSE),0))),0)),0)</f>
        <v>0</v>
      </c>
      <c r="K88" t="n">
        <f>IF(7&lt;=Paramètres!$B$9,MAX(0,IFERROR(N(IF(ISNUMBER(Charges!L88),MAX(0,Charges!L88),IFERROR(VLOOKUP(Charges!L88,Paramètres!$A$15:$B$18,2,FALSE),0))),0)),0)</f>
        <v>0</v>
      </c>
      <c r="L88" t="n">
        <f>IF(8&lt;=Paramètres!$B$9,MAX(0,IFERROR(N(IF(ISNUMBER(Charges!M88),MAX(0,Charges!M88),IFERROR(VLOOKUP(Charges!M88,Paramètres!$A$15:$B$18,2,FALSE),0))),0)),0)</f>
        <v>0</v>
      </c>
      <c r="M88" t="n">
        <f>IF(9&lt;=Paramètres!$B$9,MAX(0,IFERROR(N(IF(ISNUMBER(Charges!N88),MAX(0,Charges!N88),IFERROR(VLOOKUP(Charges!N88,Paramètres!$A$15:$B$18,2,FALSE),0))),0)),0)</f>
        <v>0</v>
      </c>
      <c r="N88" t="n">
        <f>IF(10&lt;=Paramètres!$B$9,MAX(0,IFERROR(N(IF(ISNUMBER(Charges!O88),MAX(0,Charges!O88),IFERROR(VLOOKUP(Charges!O88,Paramètres!$A$15:$B$18,2,FALSE),0))),0)),0)</f>
        <v>0</v>
      </c>
      <c r="O88" t="n">
        <f>IF(11&lt;=Paramètres!$B$9,MAX(0,IFERROR(N(IF(ISNUMBER(Charges!P88),MAX(0,Charges!P88),IFERROR(VLOOKUP(Charges!P88,Paramètres!$A$15:$B$18,2,FALSE),0))),0)),0)</f>
        <v>0</v>
      </c>
      <c r="P88" t="n">
        <f>IF(12&lt;=Paramètres!$B$9,MAX(0,IFERROR(N(IF(ISNUMBER(Charges!Q88),MAX(0,Charges!Q88),IFERROR(VLOOKUP(Charges!Q88,Paramètres!$A$15:$B$18,2,FALSE),0))),0)),0)</f>
        <v>0</v>
      </c>
      <c r="Q88" t="n">
        <f>IF(13&lt;=Paramètres!$B$9,MAX(0,IFERROR(N(IF(ISNUMBER(Charges!R88),MAX(0,Charges!R88),IFERROR(VLOOKUP(Charges!R88,Paramètres!$A$15:$B$18,2,FALSE),0))),0)),0)</f>
        <v>0</v>
      </c>
      <c r="R88" t="n">
        <f>SUM(E88:Q88)</f>
        <v>0</v>
      </c>
      <c r="S88" t="n">
        <f>IF(IFERROR(VLOOKUP(A88,'Projets'!$A$8:$Z$67,7,FALSE),"")="Engager",1,0)</f>
        <v>0</v>
      </c>
      <c r="T88" t="n">
        <f>IF(OR(Charges!F88="",AND(ISNUMBER(Charges!F88),Charges!F88&gt;=0),Charges!F88="S",Charges!F88="M",Charges!F88="L",Charges!F88="XL"),0,1)+IF(OR(Charges!G88="",AND(ISNUMBER(Charges!G88),Charges!G88&gt;=0),Charges!G88="S",Charges!G88="M",Charges!G88="L",Charges!G88="XL"),0,1)+IF(OR(Charges!H88="",AND(ISNUMBER(Charges!H88),Charges!H88&gt;=0),Charges!H88="S",Charges!H88="M",Charges!H88="L",Charges!H88="XL"),0,1)+IF(OR(Charges!I88="",AND(ISNUMBER(Charges!I88),Charges!I88&gt;=0),Charges!I88="S",Charges!I88="M",Charges!I88="L",Charges!I88="XL"),0,1)+IF(OR(Charges!J88="",AND(ISNUMBER(Charges!J88),Charges!J88&gt;=0),Charges!J88="S",Charges!J88="M",Charges!J88="L",Charges!J88="XL"),0,1)+IF(OR(Charges!K88="",AND(ISNUMBER(Charges!K88),Charges!K88&gt;=0),Charges!K88="S",Charges!K88="M",Charges!K88="L",Charges!K88="XL"),0,1)+IF(OR(Charges!L88="",AND(ISNUMBER(Charges!L88),Charges!L88&gt;=0),Charges!L88="S",Charges!L88="M",Charges!L88="L",Charges!L88="XL"),0,1)+IF(OR(Charges!M88="",AND(ISNUMBER(Charges!M88),Charges!M88&gt;=0),Charges!M88="S",Charges!M88="M",Charges!M88="L",Charges!M88="XL"),0,1)+IF(OR(Charges!N88="",AND(ISNUMBER(Charges!N88),Charges!N88&gt;=0),Charges!N88="S",Charges!N88="M",Charges!N88="L",Charges!N88="XL"),0,1)+IF(OR(Charges!O88="",AND(ISNUMBER(Charges!O88),Charges!O88&gt;=0),Charges!O88="S",Charges!O88="M",Charges!O88="L",Charges!O88="XL"),0,1)+IF(OR(Charges!P88="",AND(ISNUMBER(Charges!P88),Charges!P88&gt;=0),Charges!P88="S",Charges!P88="M",Charges!P88="L",Charges!P88="XL"),0,1)+IF(OR(Charges!Q88="",AND(ISNUMBER(Charges!Q88),Charges!Q88&gt;=0),Charges!Q88="S",Charges!Q88="M",Charges!Q88="L",Charges!Q88="XL"),0,1)+IF(OR(Charges!R88="",AND(ISNUMBER(Charges!R88),Charges!R88&gt;=0),Charges!R88="S",Charges!R88="M",Charges!R88="L",Charges!R88="XL"),0,1)</f>
        <v>0</v>
      </c>
      <c r="U88" t="n">
        <f>IF(AND(1&gt;Paramètres!$B$9,Charges!F88&lt;&gt;"",Charges!F88&lt;&gt;0),1,0)+IF(AND(2&gt;Paramètres!$B$9,Charges!G88&lt;&gt;"",Charges!G88&lt;&gt;0),1,0)+IF(AND(3&gt;Paramètres!$B$9,Charges!H88&lt;&gt;"",Charges!H88&lt;&gt;0),1,0)+IF(AND(4&gt;Paramètres!$B$9,Charges!I88&lt;&gt;"",Charges!I88&lt;&gt;0),1,0)+IF(AND(5&gt;Paramètres!$B$9,Charges!J88&lt;&gt;"",Charges!J88&lt;&gt;0),1,0)+IF(AND(6&gt;Paramètres!$B$9,Charges!K88&lt;&gt;"",Charges!K88&lt;&gt;0),1,0)+IF(AND(7&gt;Paramètres!$B$9,Charges!L88&lt;&gt;"",Charges!L88&lt;&gt;0),1,0)+IF(AND(8&gt;Paramètres!$B$9,Charges!M88&lt;&gt;"",Charges!M88&lt;&gt;0),1,0)+IF(AND(9&gt;Paramètres!$B$9,Charges!N88&lt;&gt;"",Charges!N88&lt;&gt;0),1,0)+IF(AND(10&gt;Paramètres!$B$9,Charges!O88&lt;&gt;"",Charges!O88&lt;&gt;0),1,0)+IF(AND(11&gt;Paramètres!$B$9,Charges!P88&lt;&gt;"",Charges!P88&lt;&gt;0),1,0)+IF(AND(12&gt;Paramètres!$B$9,Charges!Q88&lt;&gt;"",Charges!Q88&lt;&gt;0),1,0)+IF(AND(13&gt;Paramètres!$B$9,Charges!R88&lt;&gt;"",Charges!R88&lt;&gt;0),1,0)</f>
        <v>0</v>
      </c>
      <c r="V88" t="n">
        <f>IF(IFERROR(VLOOKUP(A88,'Projets'!$A$8:$Z$67,5,FALSE),"")="Engager",1,0)</f>
        <v>0</v>
      </c>
      <c r="W88" t="n">
        <f>IF(IFERROR(VLOOKUP(A88,'Projets'!$A$8:$Z$67,6,FALSE),"")="Engager",1,0)</f>
        <v>0</v>
      </c>
      <c r="X88" t="n">
        <f>E88*S88</f>
        <v>0</v>
      </c>
      <c r="Y88" t="n">
        <f>F88*S88</f>
        <v>0</v>
      </c>
      <c r="Z88" t="n">
        <f>G88*S88</f>
        <v>0</v>
      </c>
      <c r="AA88" t="n">
        <f>H88*S88</f>
        <v>0</v>
      </c>
      <c r="AB88" t="n">
        <f>I88*S88</f>
        <v>0</v>
      </c>
      <c r="AC88" t="n">
        <f>J88*S88</f>
        <v>0</v>
      </c>
      <c r="AD88" t="n">
        <f>K88*S88</f>
        <v>0</v>
      </c>
      <c r="AE88" t="n">
        <f>L88*S88</f>
        <v>0</v>
      </c>
      <c r="AF88" t="n">
        <f>M88*S88</f>
        <v>0</v>
      </c>
      <c r="AG88" t="n">
        <f>N88*S88</f>
        <v>0</v>
      </c>
      <c r="AH88" t="n">
        <f>O88*S88</f>
        <v>0</v>
      </c>
      <c r="AI88" t="n">
        <f>P88*S88</f>
        <v>0</v>
      </c>
      <c r="AJ88" t="n">
        <f>Q88*S88</f>
        <v>0</v>
      </c>
      <c r="AK88" t="n">
        <f>E88*V88</f>
        <v>0</v>
      </c>
      <c r="AL88" t="n">
        <f>F88*V88</f>
        <v>0</v>
      </c>
      <c r="AM88" t="n">
        <f>G88*V88</f>
        <v>0</v>
      </c>
      <c r="AN88" t="n">
        <f>H88*V88</f>
        <v>0</v>
      </c>
      <c r="AO88" t="n">
        <f>I88*V88</f>
        <v>0</v>
      </c>
      <c r="AP88" t="n">
        <f>J88*V88</f>
        <v>0</v>
      </c>
      <c r="AQ88" t="n">
        <f>K88*V88</f>
        <v>0</v>
      </c>
      <c r="AR88" t="n">
        <f>L88*V88</f>
        <v>0</v>
      </c>
      <c r="AS88" t="n">
        <f>M88*V88</f>
        <v>0</v>
      </c>
      <c r="AT88" t="n">
        <f>N88*V88</f>
        <v>0</v>
      </c>
      <c r="AU88" t="n">
        <f>O88*V88</f>
        <v>0</v>
      </c>
      <c r="AV88" t="n">
        <f>P88*V88</f>
        <v>0</v>
      </c>
      <c r="AW88" t="n">
        <f>Q88*V88</f>
        <v>0</v>
      </c>
      <c r="AX88" t="n">
        <f>E88*W88</f>
        <v>0</v>
      </c>
      <c r="AY88" t="n">
        <f>F88*W88</f>
        <v>0</v>
      </c>
      <c r="AZ88" t="n">
        <f>G88*W88</f>
        <v>0</v>
      </c>
      <c r="BA88" t="n">
        <f>H88*W88</f>
        <v>0</v>
      </c>
      <c r="BB88" t="n">
        <f>I88*W88</f>
        <v>0</v>
      </c>
      <c r="BC88" t="n">
        <f>J88*W88</f>
        <v>0</v>
      </c>
      <c r="BD88" t="n">
        <f>K88*W88</f>
        <v>0</v>
      </c>
      <c r="BE88" t="n">
        <f>L88*W88</f>
        <v>0</v>
      </c>
      <c r="BF88" t="n">
        <f>M88*W88</f>
        <v>0</v>
      </c>
      <c r="BG88" t="n">
        <f>N88*W88</f>
        <v>0</v>
      </c>
      <c r="BH88" t="n">
        <f>O88*W88</f>
        <v>0</v>
      </c>
      <c r="BI88" t="n">
        <f>P88*W88</f>
        <v>0</v>
      </c>
      <c r="BJ88" t="n">
        <f>Q88*W88</f>
        <v>0</v>
      </c>
    </row>
    <row r="89">
      <c r="A89" t="n">
        <f>Charges!A89</f>
        <v>0</v>
      </c>
      <c r="B89" t="n">
        <f>Charges!C89</f>
        <v>0</v>
      </c>
      <c r="C89" t="str">
        <f>Charges!D89</f>
        <v/>
      </c>
      <c r="E89" t="n">
        <f>IF(1&lt;=Paramètres!$B$9,MAX(0,IFERROR(N(IF(ISNUMBER(Charges!F89),MAX(0,Charges!F89),IFERROR(VLOOKUP(Charges!F89,Paramètres!$A$15:$B$18,2,FALSE),0))),0)),0)</f>
        <v>0</v>
      </c>
      <c r="F89" t="n">
        <f>IF(2&lt;=Paramètres!$B$9,MAX(0,IFERROR(N(IF(ISNUMBER(Charges!G89),MAX(0,Charges!G89),IFERROR(VLOOKUP(Charges!G89,Paramètres!$A$15:$B$18,2,FALSE),0))),0)),0)</f>
        <v>0</v>
      </c>
      <c r="G89" t="n">
        <f>IF(3&lt;=Paramètres!$B$9,MAX(0,IFERROR(N(IF(ISNUMBER(Charges!H89),MAX(0,Charges!H89),IFERROR(VLOOKUP(Charges!H89,Paramètres!$A$15:$B$18,2,FALSE),0))),0)),0)</f>
        <v>0</v>
      </c>
      <c r="H89" t="n">
        <f>IF(4&lt;=Paramètres!$B$9,MAX(0,IFERROR(N(IF(ISNUMBER(Charges!I89),MAX(0,Charges!I89),IFERROR(VLOOKUP(Charges!I89,Paramètres!$A$15:$B$18,2,FALSE),0))),0)),0)</f>
        <v>0</v>
      </c>
      <c r="I89" t="n">
        <f>IF(5&lt;=Paramètres!$B$9,MAX(0,IFERROR(N(IF(ISNUMBER(Charges!J89),MAX(0,Charges!J89),IFERROR(VLOOKUP(Charges!J89,Paramètres!$A$15:$B$18,2,FALSE),0))),0)),0)</f>
        <v>0</v>
      </c>
      <c r="J89" t="n">
        <f>IF(6&lt;=Paramètres!$B$9,MAX(0,IFERROR(N(IF(ISNUMBER(Charges!K89),MAX(0,Charges!K89),IFERROR(VLOOKUP(Charges!K89,Paramètres!$A$15:$B$18,2,FALSE),0))),0)),0)</f>
        <v>0</v>
      </c>
      <c r="K89" t="n">
        <f>IF(7&lt;=Paramètres!$B$9,MAX(0,IFERROR(N(IF(ISNUMBER(Charges!L89),MAX(0,Charges!L89),IFERROR(VLOOKUP(Charges!L89,Paramètres!$A$15:$B$18,2,FALSE),0))),0)),0)</f>
        <v>0</v>
      </c>
      <c r="L89" t="n">
        <f>IF(8&lt;=Paramètres!$B$9,MAX(0,IFERROR(N(IF(ISNUMBER(Charges!M89),MAX(0,Charges!M89),IFERROR(VLOOKUP(Charges!M89,Paramètres!$A$15:$B$18,2,FALSE),0))),0)),0)</f>
        <v>0</v>
      </c>
      <c r="M89" t="n">
        <f>IF(9&lt;=Paramètres!$B$9,MAX(0,IFERROR(N(IF(ISNUMBER(Charges!N89),MAX(0,Charges!N89),IFERROR(VLOOKUP(Charges!N89,Paramètres!$A$15:$B$18,2,FALSE),0))),0)),0)</f>
        <v>0</v>
      </c>
      <c r="N89" t="n">
        <f>IF(10&lt;=Paramètres!$B$9,MAX(0,IFERROR(N(IF(ISNUMBER(Charges!O89),MAX(0,Charges!O89),IFERROR(VLOOKUP(Charges!O89,Paramètres!$A$15:$B$18,2,FALSE),0))),0)),0)</f>
        <v>0</v>
      </c>
      <c r="O89" t="n">
        <f>IF(11&lt;=Paramètres!$B$9,MAX(0,IFERROR(N(IF(ISNUMBER(Charges!P89),MAX(0,Charges!P89),IFERROR(VLOOKUP(Charges!P89,Paramètres!$A$15:$B$18,2,FALSE),0))),0)),0)</f>
        <v>0</v>
      </c>
      <c r="P89" t="n">
        <f>IF(12&lt;=Paramètres!$B$9,MAX(0,IFERROR(N(IF(ISNUMBER(Charges!Q89),MAX(0,Charges!Q89),IFERROR(VLOOKUP(Charges!Q89,Paramètres!$A$15:$B$18,2,FALSE),0))),0)),0)</f>
        <v>0</v>
      </c>
      <c r="Q89" t="n">
        <f>IF(13&lt;=Paramètres!$B$9,MAX(0,IFERROR(N(IF(ISNUMBER(Charges!R89),MAX(0,Charges!R89),IFERROR(VLOOKUP(Charges!R89,Paramètres!$A$15:$B$18,2,FALSE),0))),0)),0)</f>
        <v>0</v>
      </c>
      <c r="R89" t="n">
        <f>SUM(E89:Q89)</f>
        <v>0</v>
      </c>
      <c r="S89" t="n">
        <f>IF(IFERROR(VLOOKUP(A89,'Projets'!$A$8:$Z$67,7,FALSE),"")="Engager",1,0)</f>
        <v>0</v>
      </c>
      <c r="T89" t="n">
        <f>IF(OR(Charges!F89="",AND(ISNUMBER(Charges!F89),Charges!F89&gt;=0),Charges!F89="S",Charges!F89="M",Charges!F89="L",Charges!F89="XL"),0,1)+IF(OR(Charges!G89="",AND(ISNUMBER(Charges!G89),Charges!G89&gt;=0),Charges!G89="S",Charges!G89="M",Charges!G89="L",Charges!G89="XL"),0,1)+IF(OR(Charges!H89="",AND(ISNUMBER(Charges!H89),Charges!H89&gt;=0),Charges!H89="S",Charges!H89="M",Charges!H89="L",Charges!H89="XL"),0,1)+IF(OR(Charges!I89="",AND(ISNUMBER(Charges!I89),Charges!I89&gt;=0),Charges!I89="S",Charges!I89="M",Charges!I89="L",Charges!I89="XL"),0,1)+IF(OR(Charges!J89="",AND(ISNUMBER(Charges!J89),Charges!J89&gt;=0),Charges!J89="S",Charges!J89="M",Charges!J89="L",Charges!J89="XL"),0,1)+IF(OR(Charges!K89="",AND(ISNUMBER(Charges!K89),Charges!K89&gt;=0),Charges!K89="S",Charges!K89="M",Charges!K89="L",Charges!K89="XL"),0,1)+IF(OR(Charges!L89="",AND(ISNUMBER(Charges!L89),Charges!L89&gt;=0),Charges!L89="S",Charges!L89="M",Charges!L89="L",Charges!L89="XL"),0,1)+IF(OR(Charges!M89="",AND(ISNUMBER(Charges!M89),Charges!M89&gt;=0),Charges!M89="S",Charges!M89="M",Charges!M89="L",Charges!M89="XL"),0,1)+IF(OR(Charges!N89="",AND(ISNUMBER(Charges!N89),Charges!N89&gt;=0),Charges!N89="S",Charges!N89="M",Charges!N89="L",Charges!N89="XL"),0,1)+IF(OR(Charges!O89="",AND(ISNUMBER(Charges!O89),Charges!O89&gt;=0),Charges!O89="S",Charges!O89="M",Charges!O89="L",Charges!O89="XL"),0,1)+IF(OR(Charges!P89="",AND(ISNUMBER(Charges!P89),Charges!P89&gt;=0),Charges!P89="S",Charges!P89="M",Charges!P89="L",Charges!P89="XL"),0,1)+IF(OR(Charges!Q89="",AND(ISNUMBER(Charges!Q89),Charges!Q89&gt;=0),Charges!Q89="S",Charges!Q89="M",Charges!Q89="L",Charges!Q89="XL"),0,1)+IF(OR(Charges!R89="",AND(ISNUMBER(Charges!R89),Charges!R89&gt;=0),Charges!R89="S",Charges!R89="M",Charges!R89="L",Charges!R89="XL"),0,1)</f>
        <v>0</v>
      </c>
      <c r="U89" t="n">
        <f>IF(AND(1&gt;Paramètres!$B$9,Charges!F89&lt;&gt;"",Charges!F89&lt;&gt;0),1,0)+IF(AND(2&gt;Paramètres!$B$9,Charges!G89&lt;&gt;"",Charges!G89&lt;&gt;0),1,0)+IF(AND(3&gt;Paramètres!$B$9,Charges!H89&lt;&gt;"",Charges!H89&lt;&gt;0),1,0)+IF(AND(4&gt;Paramètres!$B$9,Charges!I89&lt;&gt;"",Charges!I89&lt;&gt;0),1,0)+IF(AND(5&gt;Paramètres!$B$9,Charges!J89&lt;&gt;"",Charges!J89&lt;&gt;0),1,0)+IF(AND(6&gt;Paramètres!$B$9,Charges!K89&lt;&gt;"",Charges!K89&lt;&gt;0),1,0)+IF(AND(7&gt;Paramètres!$B$9,Charges!L89&lt;&gt;"",Charges!L89&lt;&gt;0),1,0)+IF(AND(8&gt;Paramètres!$B$9,Charges!M89&lt;&gt;"",Charges!M89&lt;&gt;0),1,0)+IF(AND(9&gt;Paramètres!$B$9,Charges!N89&lt;&gt;"",Charges!N89&lt;&gt;0),1,0)+IF(AND(10&gt;Paramètres!$B$9,Charges!O89&lt;&gt;"",Charges!O89&lt;&gt;0),1,0)+IF(AND(11&gt;Paramètres!$B$9,Charges!P89&lt;&gt;"",Charges!P89&lt;&gt;0),1,0)+IF(AND(12&gt;Paramètres!$B$9,Charges!Q89&lt;&gt;"",Charges!Q89&lt;&gt;0),1,0)+IF(AND(13&gt;Paramètres!$B$9,Charges!R89&lt;&gt;"",Charges!R89&lt;&gt;0),1,0)</f>
        <v>0</v>
      </c>
      <c r="V89" t="n">
        <f>IF(IFERROR(VLOOKUP(A89,'Projets'!$A$8:$Z$67,5,FALSE),"")="Engager",1,0)</f>
        <v>0</v>
      </c>
      <c r="W89" t="n">
        <f>IF(IFERROR(VLOOKUP(A89,'Projets'!$A$8:$Z$67,6,FALSE),"")="Engager",1,0)</f>
        <v>0</v>
      </c>
      <c r="X89" t="n">
        <f>E89*S89</f>
        <v>0</v>
      </c>
      <c r="Y89" t="n">
        <f>F89*S89</f>
        <v>0</v>
      </c>
      <c r="Z89" t="n">
        <f>G89*S89</f>
        <v>0</v>
      </c>
      <c r="AA89" t="n">
        <f>H89*S89</f>
        <v>0</v>
      </c>
      <c r="AB89" t="n">
        <f>I89*S89</f>
        <v>0</v>
      </c>
      <c r="AC89" t="n">
        <f>J89*S89</f>
        <v>0</v>
      </c>
      <c r="AD89" t="n">
        <f>K89*S89</f>
        <v>0</v>
      </c>
      <c r="AE89" t="n">
        <f>L89*S89</f>
        <v>0</v>
      </c>
      <c r="AF89" t="n">
        <f>M89*S89</f>
        <v>0</v>
      </c>
      <c r="AG89" t="n">
        <f>N89*S89</f>
        <v>0</v>
      </c>
      <c r="AH89" t="n">
        <f>O89*S89</f>
        <v>0</v>
      </c>
      <c r="AI89" t="n">
        <f>P89*S89</f>
        <v>0</v>
      </c>
      <c r="AJ89" t="n">
        <f>Q89*S89</f>
        <v>0</v>
      </c>
      <c r="AK89" t="n">
        <f>E89*V89</f>
        <v>0</v>
      </c>
      <c r="AL89" t="n">
        <f>F89*V89</f>
        <v>0</v>
      </c>
      <c r="AM89" t="n">
        <f>G89*V89</f>
        <v>0</v>
      </c>
      <c r="AN89" t="n">
        <f>H89*V89</f>
        <v>0</v>
      </c>
      <c r="AO89" t="n">
        <f>I89*V89</f>
        <v>0</v>
      </c>
      <c r="AP89" t="n">
        <f>J89*V89</f>
        <v>0</v>
      </c>
      <c r="AQ89" t="n">
        <f>K89*V89</f>
        <v>0</v>
      </c>
      <c r="AR89" t="n">
        <f>L89*V89</f>
        <v>0</v>
      </c>
      <c r="AS89" t="n">
        <f>M89*V89</f>
        <v>0</v>
      </c>
      <c r="AT89" t="n">
        <f>N89*V89</f>
        <v>0</v>
      </c>
      <c r="AU89" t="n">
        <f>O89*V89</f>
        <v>0</v>
      </c>
      <c r="AV89" t="n">
        <f>P89*V89</f>
        <v>0</v>
      </c>
      <c r="AW89" t="n">
        <f>Q89*V89</f>
        <v>0</v>
      </c>
      <c r="AX89" t="n">
        <f>E89*W89</f>
        <v>0</v>
      </c>
      <c r="AY89" t="n">
        <f>F89*W89</f>
        <v>0</v>
      </c>
      <c r="AZ89" t="n">
        <f>G89*W89</f>
        <v>0</v>
      </c>
      <c r="BA89" t="n">
        <f>H89*W89</f>
        <v>0</v>
      </c>
      <c r="BB89" t="n">
        <f>I89*W89</f>
        <v>0</v>
      </c>
      <c r="BC89" t="n">
        <f>J89*W89</f>
        <v>0</v>
      </c>
      <c r="BD89" t="n">
        <f>K89*W89</f>
        <v>0</v>
      </c>
      <c r="BE89" t="n">
        <f>L89*W89</f>
        <v>0</v>
      </c>
      <c r="BF89" t="n">
        <f>M89*W89</f>
        <v>0</v>
      </c>
      <c r="BG89" t="n">
        <f>N89*W89</f>
        <v>0</v>
      </c>
      <c r="BH89" t="n">
        <f>O89*W89</f>
        <v>0</v>
      </c>
      <c r="BI89" t="n">
        <f>P89*W89</f>
        <v>0</v>
      </c>
      <c r="BJ89" t="n">
        <f>Q89*W89</f>
        <v>0</v>
      </c>
    </row>
    <row r="90">
      <c r="A90" t="n">
        <f>Charges!A90</f>
        <v>0</v>
      </c>
      <c r="B90" t="n">
        <f>Charges!C90</f>
        <v>0</v>
      </c>
      <c r="C90" t="str">
        <f>Charges!D90</f>
        <v/>
      </c>
      <c r="E90" t="n">
        <f>IF(1&lt;=Paramètres!$B$9,MAX(0,IFERROR(N(IF(ISNUMBER(Charges!F90),MAX(0,Charges!F90),IFERROR(VLOOKUP(Charges!F90,Paramètres!$A$15:$B$18,2,FALSE),0))),0)),0)</f>
        <v>0</v>
      </c>
      <c r="F90" t="n">
        <f>IF(2&lt;=Paramètres!$B$9,MAX(0,IFERROR(N(IF(ISNUMBER(Charges!G90),MAX(0,Charges!G90),IFERROR(VLOOKUP(Charges!G90,Paramètres!$A$15:$B$18,2,FALSE),0))),0)),0)</f>
        <v>0</v>
      </c>
      <c r="G90" t="n">
        <f>IF(3&lt;=Paramètres!$B$9,MAX(0,IFERROR(N(IF(ISNUMBER(Charges!H90),MAX(0,Charges!H90),IFERROR(VLOOKUP(Charges!H90,Paramètres!$A$15:$B$18,2,FALSE),0))),0)),0)</f>
        <v>0</v>
      </c>
      <c r="H90" t="n">
        <f>IF(4&lt;=Paramètres!$B$9,MAX(0,IFERROR(N(IF(ISNUMBER(Charges!I90),MAX(0,Charges!I90),IFERROR(VLOOKUP(Charges!I90,Paramètres!$A$15:$B$18,2,FALSE),0))),0)),0)</f>
        <v>0</v>
      </c>
      <c r="I90" t="n">
        <f>IF(5&lt;=Paramètres!$B$9,MAX(0,IFERROR(N(IF(ISNUMBER(Charges!J90),MAX(0,Charges!J90),IFERROR(VLOOKUP(Charges!J90,Paramètres!$A$15:$B$18,2,FALSE),0))),0)),0)</f>
        <v>0</v>
      </c>
      <c r="J90" t="n">
        <f>IF(6&lt;=Paramètres!$B$9,MAX(0,IFERROR(N(IF(ISNUMBER(Charges!K90),MAX(0,Charges!K90),IFERROR(VLOOKUP(Charges!K90,Paramètres!$A$15:$B$18,2,FALSE),0))),0)),0)</f>
        <v>0</v>
      </c>
      <c r="K90" t="n">
        <f>IF(7&lt;=Paramètres!$B$9,MAX(0,IFERROR(N(IF(ISNUMBER(Charges!L90),MAX(0,Charges!L90),IFERROR(VLOOKUP(Charges!L90,Paramètres!$A$15:$B$18,2,FALSE),0))),0)),0)</f>
        <v>0</v>
      </c>
      <c r="L90" t="n">
        <f>IF(8&lt;=Paramètres!$B$9,MAX(0,IFERROR(N(IF(ISNUMBER(Charges!M90),MAX(0,Charges!M90),IFERROR(VLOOKUP(Charges!M90,Paramètres!$A$15:$B$18,2,FALSE),0))),0)),0)</f>
        <v>0</v>
      </c>
      <c r="M90" t="n">
        <f>IF(9&lt;=Paramètres!$B$9,MAX(0,IFERROR(N(IF(ISNUMBER(Charges!N90),MAX(0,Charges!N90),IFERROR(VLOOKUP(Charges!N90,Paramètres!$A$15:$B$18,2,FALSE),0))),0)),0)</f>
        <v>0</v>
      </c>
      <c r="N90" t="n">
        <f>IF(10&lt;=Paramètres!$B$9,MAX(0,IFERROR(N(IF(ISNUMBER(Charges!O90),MAX(0,Charges!O90),IFERROR(VLOOKUP(Charges!O90,Paramètres!$A$15:$B$18,2,FALSE),0))),0)),0)</f>
        <v>0</v>
      </c>
      <c r="O90" t="n">
        <f>IF(11&lt;=Paramètres!$B$9,MAX(0,IFERROR(N(IF(ISNUMBER(Charges!P90),MAX(0,Charges!P90),IFERROR(VLOOKUP(Charges!P90,Paramètres!$A$15:$B$18,2,FALSE),0))),0)),0)</f>
        <v>0</v>
      </c>
      <c r="P90" t="n">
        <f>IF(12&lt;=Paramètres!$B$9,MAX(0,IFERROR(N(IF(ISNUMBER(Charges!Q90),MAX(0,Charges!Q90),IFERROR(VLOOKUP(Charges!Q90,Paramètres!$A$15:$B$18,2,FALSE),0))),0)),0)</f>
        <v>0</v>
      </c>
      <c r="Q90" t="n">
        <f>IF(13&lt;=Paramètres!$B$9,MAX(0,IFERROR(N(IF(ISNUMBER(Charges!R90),MAX(0,Charges!R90),IFERROR(VLOOKUP(Charges!R90,Paramètres!$A$15:$B$18,2,FALSE),0))),0)),0)</f>
        <v>0</v>
      </c>
      <c r="R90" t="n">
        <f>SUM(E90:Q90)</f>
        <v>0</v>
      </c>
      <c r="S90" t="n">
        <f>IF(IFERROR(VLOOKUP(A90,'Projets'!$A$8:$Z$67,7,FALSE),"")="Engager",1,0)</f>
        <v>0</v>
      </c>
      <c r="T90" t="n">
        <f>IF(OR(Charges!F90="",AND(ISNUMBER(Charges!F90),Charges!F90&gt;=0),Charges!F90="S",Charges!F90="M",Charges!F90="L",Charges!F90="XL"),0,1)+IF(OR(Charges!G90="",AND(ISNUMBER(Charges!G90),Charges!G90&gt;=0),Charges!G90="S",Charges!G90="M",Charges!G90="L",Charges!G90="XL"),0,1)+IF(OR(Charges!H90="",AND(ISNUMBER(Charges!H90),Charges!H90&gt;=0),Charges!H90="S",Charges!H90="M",Charges!H90="L",Charges!H90="XL"),0,1)+IF(OR(Charges!I90="",AND(ISNUMBER(Charges!I90),Charges!I90&gt;=0),Charges!I90="S",Charges!I90="M",Charges!I90="L",Charges!I90="XL"),0,1)+IF(OR(Charges!J90="",AND(ISNUMBER(Charges!J90),Charges!J90&gt;=0),Charges!J90="S",Charges!J90="M",Charges!J90="L",Charges!J90="XL"),0,1)+IF(OR(Charges!K90="",AND(ISNUMBER(Charges!K90),Charges!K90&gt;=0),Charges!K90="S",Charges!K90="M",Charges!K90="L",Charges!K90="XL"),0,1)+IF(OR(Charges!L90="",AND(ISNUMBER(Charges!L90),Charges!L90&gt;=0),Charges!L90="S",Charges!L90="M",Charges!L90="L",Charges!L90="XL"),0,1)+IF(OR(Charges!M90="",AND(ISNUMBER(Charges!M90),Charges!M90&gt;=0),Charges!M90="S",Charges!M90="M",Charges!M90="L",Charges!M90="XL"),0,1)+IF(OR(Charges!N90="",AND(ISNUMBER(Charges!N90),Charges!N90&gt;=0),Charges!N90="S",Charges!N90="M",Charges!N90="L",Charges!N90="XL"),0,1)+IF(OR(Charges!O90="",AND(ISNUMBER(Charges!O90),Charges!O90&gt;=0),Charges!O90="S",Charges!O90="M",Charges!O90="L",Charges!O90="XL"),0,1)+IF(OR(Charges!P90="",AND(ISNUMBER(Charges!P90),Charges!P90&gt;=0),Charges!P90="S",Charges!P90="M",Charges!P90="L",Charges!P90="XL"),0,1)+IF(OR(Charges!Q90="",AND(ISNUMBER(Charges!Q90),Charges!Q90&gt;=0),Charges!Q90="S",Charges!Q90="M",Charges!Q90="L",Charges!Q90="XL"),0,1)+IF(OR(Charges!R90="",AND(ISNUMBER(Charges!R90),Charges!R90&gt;=0),Charges!R90="S",Charges!R90="M",Charges!R90="L",Charges!R90="XL"),0,1)</f>
        <v>0</v>
      </c>
      <c r="U90" t="n">
        <f>IF(AND(1&gt;Paramètres!$B$9,Charges!F90&lt;&gt;"",Charges!F90&lt;&gt;0),1,0)+IF(AND(2&gt;Paramètres!$B$9,Charges!G90&lt;&gt;"",Charges!G90&lt;&gt;0),1,0)+IF(AND(3&gt;Paramètres!$B$9,Charges!H90&lt;&gt;"",Charges!H90&lt;&gt;0),1,0)+IF(AND(4&gt;Paramètres!$B$9,Charges!I90&lt;&gt;"",Charges!I90&lt;&gt;0),1,0)+IF(AND(5&gt;Paramètres!$B$9,Charges!J90&lt;&gt;"",Charges!J90&lt;&gt;0),1,0)+IF(AND(6&gt;Paramètres!$B$9,Charges!K90&lt;&gt;"",Charges!K90&lt;&gt;0),1,0)+IF(AND(7&gt;Paramètres!$B$9,Charges!L90&lt;&gt;"",Charges!L90&lt;&gt;0),1,0)+IF(AND(8&gt;Paramètres!$B$9,Charges!M90&lt;&gt;"",Charges!M90&lt;&gt;0),1,0)+IF(AND(9&gt;Paramètres!$B$9,Charges!N90&lt;&gt;"",Charges!N90&lt;&gt;0),1,0)+IF(AND(10&gt;Paramètres!$B$9,Charges!O90&lt;&gt;"",Charges!O90&lt;&gt;0),1,0)+IF(AND(11&gt;Paramètres!$B$9,Charges!P90&lt;&gt;"",Charges!P90&lt;&gt;0),1,0)+IF(AND(12&gt;Paramètres!$B$9,Charges!Q90&lt;&gt;"",Charges!Q90&lt;&gt;0),1,0)+IF(AND(13&gt;Paramètres!$B$9,Charges!R90&lt;&gt;"",Charges!R90&lt;&gt;0),1,0)</f>
        <v>0</v>
      </c>
      <c r="V90" t="n">
        <f>IF(IFERROR(VLOOKUP(A90,'Projets'!$A$8:$Z$67,5,FALSE),"")="Engager",1,0)</f>
        <v>0</v>
      </c>
      <c r="W90" t="n">
        <f>IF(IFERROR(VLOOKUP(A90,'Projets'!$A$8:$Z$67,6,FALSE),"")="Engager",1,0)</f>
        <v>0</v>
      </c>
      <c r="X90" t="n">
        <f>E90*S90</f>
        <v>0</v>
      </c>
      <c r="Y90" t="n">
        <f>F90*S90</f>
        <v>0</v>
      </c>
      <c r="Z90" t="n">
        <f>G90*S90</f>
        <v>0</v>
      </c>
      <c r="AA90" t="n">
        <f>H90*S90</f>
        <v>0</v>
      </c>
      <c r="AB90" t="n">
        <f>I90*S90</f>
        <v>0</v>
      </c>
      <c r="AC90" t="n">
        <f>J90*S90</f>
        <v>0</v>
      </c>
      <c r="AD90" t="n">
        <f>K90*S90</f>
        <v>0</v>
      </c>
      <c r="AE90" t="n">
        <f>L90*S90</f>
        <v>0</v>
      </c>
      <c r="AF90" t="n">
        <f>M90*S90</f>
        <v>0</v>
      </c>
      <c r="AG90" t="n">
        <f>N90*S90</f>
        <v>0</v>
      </c>
      <c r="AH90" t="n">
        <f>O90*S90</f>
        <v>0</v>
      </c>
      <c r="AI90" t="n">
        <f>P90*S90</f>
        <v>0</v>
      </c>
      <c r="AJ90" t="n">
        <f>Q90*S90</f>
        <v>0</v>
      </c>
      <c r="AK90" t="n">
        <f>E90*V90</f>
        <v>0</v>
      </c>
      <c r="AL90" t="n">
        <f>F90*V90</f>
        <v>0</v>
      </c>
      <c r="AM90" t="n">
        <f>G90*V90</f>
        <v>0</v>
      </c>
      <c r="AN90" t="n">
        <f>H90*V90</f>
        <v>0</v>
      </c>
      <c r="AO90" t="n">
        <f>I90*V90</f>
        <v>0</v>
      </c>
      <c r="AP90" t="n">
        <f>J90*V90</f>
        <v>0</v>
      </c>
      <c r="AQ90" t="n">
        <f>K90*V90</f>
        <v>0</v>
      </c>
      <c r="AR90" t="n">
        <f>L90*V90</f>
        <v>0</v>
      </c>
      <c r="AS90" t="n">
        <f>M90*V90</f>
        <v>0</v>
      </c>
      <c r="AT90" t="n">
        <f>N90*V90</f>
        <v>0</v>
      </c>
      <c r="AU90" t="n">
        <f>O90*V90</f>
        <v>0</v>
      </c>
      <c r="AV90" t="n">
        <f>P90*V90</f>
        <v>0</v>
      </c>
      <c r="AW90" t="n">
        <f>Q90*V90</f>
        <v>0</v>
      </c>
      <c r="AX90" t="n">
        <f>E90*W90</f>
        <v>0</v>
      </c>
      <c r="AY90" t="n">
        <f>F90*W90</f>
        <v>0</v>
      </c>
      <c r="AZ90" t="n">
        <f>G90*W90</f>
        <v>0</v>
      </c>
      <c r="BA90" t="n">
        <f>H90*W90</f>
        <v>0</v>
      </c>
      <c r="BB90" t="n">
        <f>I90*W90</f>
        <v>0</v>
      </c>
      <c r="BC90" t="n">
        <f>J90*W90</f>
        <v>0</v>
      </c>
      <c r="BD90" t="n">
        <f>K90*W90</f>
        <v>0</v>
      </c>
      <c r="BE90" t="n">
        <f>L90*W90</f>
        <v>0</v>
      </c>
      <c r="BF90" t="n">
        <f>M90*W90</f>
        <v>0</v>
      </c>
      <c r="BG90" t="n">
        <f>N90*W90</f>
        <v>0</v>
      </c>
      <c r="BH90" t="n">
        <f>O90*W90</f>
        <v>0</v>
      </c>
      <c r="BI90" t="n">
        <f>P90*W90</f>
        <v>0</v>
      </c>
      <c r="BJ90" t="n">
        <f>Q90*W90</f>
        <v>0</v>
      </c>
    </row>
    <row r="91">
      <c r="A91" t="n">
        <f>Charges!A91</f>
        <v>0</v>
      </c>
      <c r="B91" t="n">
        <f>Charges!C91</f>
        <v>0</v>
      </c>
      <c r="C91" t="str">
        <f>Charges!D91</f>
        <v/>
      </c>
      <c r="E91" t="n">
        <f>IF(1&lt;=Paramètres!$B$9,MAX(0,IFERROR(N(IF(ISNUMBER(Charges!F91),MAX(0,Charges!F91),IFERROR(VLOOKUP(Charges!F91,Paramètres!$A$15:$B$18,2,FALSE),0))),0)),0)</f>
        <v>0</v>
      </c>
      <c r="F91" t="n">
        <f>IF(2&lt;=Paramètres!$B$9,MAX(0,IFERROR(N(IF(ISNUMBER(Charges!G91),MAX(0,Charges!G91),IFERROR(VLOOKUP(Charges!G91,Paramètres!$A$15:$B$18,2,FALSE),0))),0)),0)</f>
        <v>0</v>
      </c>
      <c r="G91" t="n">
        <f>IF(3&lt;=Paramètres!$B$9,MAX(0,IFERROR(N(IF(ISNUMBER(Charges!H91),MAX(0,Charges!H91),IFERROR(VLOOKUP(Charges!H91,Paramètres!$A$15:$B$18,2,FALSE),0))),0)),0)</f>
        <v>0</v>
      </c>
      <c r="H91" t="n">
        <f>IF(4&lt;=Paramètres!$B$9,MAX(0,IFERROR(N(IF(ISNUMBER(Charges!I91),MAX(0,Charges!I91),IFERROR(VLOOKUP(Charges!I91,Paramètres!$A$15:$B$18,2,FALSE),0))),0)),0)</f>
        <v>0</v>
      </c>
      <c r="I91" t="n">
        <f>IF(5&lt;=Paramètres!$B$9,MAX(0,IFERROR(N(IF(ISNUMBER(Charges!J91),MAX(0,Charges!J91),IFERROR(VLOOKUP(Charges!J91,Paramètres!$A$15:$B$18,2,FALSE),0))),0)),0)</f>
        <v>0</v>
      </c>
      <c r="J91" t="n">
        <f>IF(6&lt;=Paramètres!$B$9,MAX(0,IFERROR(N(IF(ISNUMBER(Charges!K91),MAX(0,Charges!K91),IFERROR(VLOOKUP(Charges!K91,Paramètres!$A$15:$B$18,2,FALSE),0))),0)),0)</f>
        <v>0</v>
      </c>
      <c r="K91" t="n">
        <f>IF(7&lt;=Paramètres!$B$9,MAX(0,IFERROR(N(IF(ISNUMBER(Charges!L91),MAX(0,Charges!L91),IFERROR(VLOOKUP(Charges!L91,Paramètres!$A$15:$B$18,2,FALSE),0))),0)),0)</f>
        <v>0</v>
      </c>
      <c r="L91" t="n">
        <f>IF(8&lt;=Paramètres!$B$9,MAX(0,IFERROR(N(IF(ISNUMBER(Charges!M91),MAX(0,Charges!M91),IFERROR(VLOOKUP(Charges!M91,Paramètres!$A$15:$B$18,2,FALSE),0))),0)),0)</f>
        <v>0</v>
      </c>
      <c r="M91" t="n">
        <f>IF(9&lt;=Paramètres!$B$9,MAX(0,IFERROR(N(IF(ISNUMBER(Charges!N91),MAX(0,Charges!N91),IFERROR(VLOOKUP(Charges!N91,Paramètres!$A$15:$B$18,2,FALSE),0))),0)),0)</f>
        <v>0</v>
      </c>
      <c r="N91" t="n">
        <f>IF(10&lt;=Paramètres!$B$9,MAX(0,IFERROR(N(IF(ISNUMBER(Charges!O91),MAX(0,Charges!O91),IFERROR(VLOOKUP(Charges!O91,Paramètres!$A$15:$B$18,2,FALSE),0))),0)),0)</f>
        <v>0</v>
      </c>
      <c r="O91" t="n">
        <f>IF(11&lt;=Paramètres!$B$9,MAX(0,IFERROR(N(IF(ISNUMBER(Charges!P91),MAX(0,Charges!P91),IFERROR(VLOOKUP(Charges!P91,Paramètres!$A$15:$B$18,2,FALSE),0))),0)),0)</f>
        <v>0</v>
      </c>
      <c r="P91" t="n">
        <f>IF(12&lt;=Paramètres!$B$9,MAX(0,IFERROR(N(IF(ISNUMBER(Charges!Q91),MAX(0,Charges!Q91),IFERROR(VLOOKUP(Charges!Q91,Paramètres!$A$15:$B$18,2,FALSE),0))),0)),0)</f>
        <v>0</v>
      </c>
      <c r="Q91" t="n">
        <f>IF(13&lt;=Paramètres!$B$9,MAX(0,IFERROR(N(IF(ISNUMBER(Charges!R91),MAX(0,Charges!R91),IFERROR(VLOOKUP(Charges!R91,Paramètres!$A$15:$B$18,2,FALSE),0))),0)),0)</f>
        <v>0</v>
      </c>
      <c r="R91" t="n">
        <f>SUM(E91:Q91)</f>
        <v>0</v>
      </c>
      <c r="S91" t="n">
        <f>IF(IFERROR(VLOOKUP(A91,'Projets'!$A$8:$Z$67,7,FALSE),"")="Engager",1,0)</f>
        <v>0</v>
      </c>
      <c r="T91" t="n">
        <f>IF(OR(Charges!F91="",AND(ISNUMBER(Charges!F91),Charges!F91&gt;=0),Charges!F91="S",Charges!F91="M",Charges!F91="L",Charges!F91="XL"),0,1)+IF(OR(Charges!G91="",AND(ISNUMBER(Charges!G91),Charges!G91&gt;=0),Charges!G91="S",Charges!G91="M",Charges!G91="L",Charges!G91="XL"),0,1)+IF(OR(Charges!H91="",AND(ISNUMBER(Charges!H91),Charges!H91&gt;=0),Charges!H91="S",Charges!H91="M",Charges!H91="L",Charges!H91="XL"),0,1)+IF(OR(Charges!I91="",AND(ISNUMBER(Charges!I91),Charges!I91&gt;=0),Charges!I91="S",Charges!I91="M",Charges!I91="L",Charges!I91="XL"),0,1)+IF(OR(Charges!J91="",AND(ISNUMBER(Charges!J91),Charges!J91&gt;=0),Charges!J91="S",Charges!J91="M",Charges!J91="L",Charges!J91="XL"),0,1)+IF(OR(Charges!K91="",AND(ISNUMBER(Charges!K91),Charges!K91&gt;=0),Charges!K91="S",Charges!K91="M",Charges!K91="L",Charges!K91="XL"),0,1)+IF(OR(Charges!L91="",AND(ISNUMBER(Charges!L91),Charges!L91&gt;=0),Charges!L91="S",Charges!L91="M",Charges!L91="L",Charges!L91="XL"),0,1)+IF(OR(Charges!M91="",AND(ISNUMBER(Charges!M91),Charges!M91&gt;=0),Charges!M91="S",Charges!M91="M",Charges!M91="L",Charges!M91="XL"),0,1)+IF(OR(Charges!N91="",AND(ISNUMBER(Charges!N91),Charges!N91&gt;=0),Charges!N91="S",Charges!N91="M",Charges!N91="L",Charges!N91="XL"),0,1)+IF(OR(Charges!O91="",AND(ISNUMBER(Charges!O91),Charges!O91&gt;=0),Charges!O91="S",Charges!O91="M",Charges!O91="L",Charges!O91="XL"),0,1)+IF(OR(Charges!P91="",AND(ISNUMBER(Charges!P91),Charges!P91&gt;=0),Charges!P91="S",Charges!P91="M",Charges!P91="L",Charges!P91="XL"),0,1)+IF(OR(Charges!Q91="",AND(ISNUMBER(Charges!Q91),Charges!Q91&gt;=0),Charges!Q91="S",Charges!Q91="M",Charges!Q91="L",Charges!Q91="XL"),0,1)+IF(OR(Charges!R91="",AND(ISNUMBER(Charges!R91),Charges!R91&gt;=0),Charges!R91="S",Charges!R91="M",Charges!R91="L",Charges!R91="XL"),0,1)</f>
        <v>0</v>
      </c>
      <c r="U91" t="n">
        <f>IF(AND(1&gt;Paramètres!$B$9,Charges!F91&lt;&gt;"",Charges!F91&lt;&gt;0),1,0)+IF(AND(2&gt;Paramètres!$B$9,Charges!G91&lt;&gt;"",Charges!G91&lt;&gt;0),1,0)+IF(AND(3&gt;Paramètres!$B$9,Charges!H91&lt;&gt;"",Charges!H91&lt;&gt;0),1,0)+IF(AND(4&gt;Paramètres!$B$9,Charges!I91&lt;&gt;"",Charges!I91&lt;&gt;0),1,0)+IF(AND(5&gt;Paramètres!$B$9,Charges!J91&lt;&gt;"",Charges!J91&lt;&gt;0),1,0)+IF(AND(6&gt;Paramètres!$B$9,Charges!K91&lt;&gt;"",Charges!K91&lt;&gt;0),1,0)+IF(AND(7&gt;Paramètres!$B$9,Charges!L91&lt;&gt;"",Charges!L91&lt;&gt;0),1,0)+IF(AND(8&gt;Paramètres!$B$9,Charges!M91&lt;&gt;"",Charges!M91&lt;&gt;0),1,0)+IF(AND(9&gt;Paramètres!$B$9,Charges!N91&lt;&gt;"",Charges!N91&lt;&gt;0),1,0)+IF(AND(10&gt;Paramètres!$B$9,Charges!O91&lt;&gt;"",Charges!O91&lt;&gt;0),1,0)+IF(AND(11&gt;Paramètres!$B$9,Charges!P91&lt;&gt;"",Charges!P91&lt;&gt;0),1,0)+IF(AND(12&gt;Paramètres!$B$9,Charges!Q91&lt;&gt;"",Charges!Q91&lt;&gt;0),1,0)+IF(AND(13&gt;Paramètres!$B$9,Charges!R91&lt;&gt;"",Charges!R91&lt;&gt;0),1,0)</f>
        <v>0</v>
      </c>
      <c r="V91" t="n">
        <f>IF(IFERROR(VLOOKUP(A91,'Projets'!$A$8:$Z$67,5,FALSE),"")="Engager",1,0)</f>
        <v>0</v>
      </c>
      <c r="W91" t="n">
        <f>IF(IFERROR(VLOOKUP(A91,'Projets'!$A$8:$Z$67,6,FALSE),"")="Engager",1,0)</f>
        <v>0</v>
      </c>
      <c r="X91" t="n">
        <f>E91*S91</f>
        <v>0</v>
      </c>
      <c r="Y91" t="n">
        <f>F91*S91</f>
        <v>0</v>
      </c>
      <c r="Z91" t="n">
        <f>G91*S91</f>
        <v>0</v>
      </c>
      <c r="AA91" t="n">
        <f>H91*S91</f>
        <v>0</v>
      </c>
      <c r="AB91" t="n">
        <f>I91*S91</f>
        <v>0</v>
      </c>
      <c r="AC91" t="n">
        <f>J91*S91</f>
        <v>0</v>
      </c>
      <c r="AD91" t="n">
        <f>K91*S91</f>
        <v>0</v>
      </c>
      <c r="AE91" t="n">
        <f>L91*S91</f>
        <v>0</v>
      </c>
      <c r="AF91" t="n">
        <f>M91*S91</f>
        <v>0</v>
      </c>
      <c r="AG91" t="n">
        <f>N91*S91</f>
        <v>0</v>
      </c>
      <c r="AH91" t="n">
        <f>O91*S91</f>
        <v>0</v>
      </c>
      <c r="AI91" t="n">
        <f>P91*S91</f>
        <v>0</v>
      </c>
      <c r="AJ91" t="n">
        <f>Q91*S91</f>
        <v>0</v>
      </c>
      <c r="AK91" t="n">
        <f>E91*V91</f>
        <v>0</v>
      </c>
      <c r="AL91" t="n">
        <f>F91*V91</f>
        <v>0</v>
      </c>
      <c r="AM91" t="n">
        <f>G91*V91</f>
        <v>0</v>
      </c>
      <c r="AN91" t="n">
        <f>H91*V91</f>
        <v>0</v>
      </c>
      <c r="AO91" t="n">
        <f>I91*V91</f>
        <v>0</v>
      </c>
      <c r="AP91" t="n">
        <f>J91*V91</f>
        <v>0</v>
      </c>
      <c r="AQ91" t="n">
        <f>K91*V91</f>
        <v>0</v>
      </c>
      <c r="AR91" t="n">
        <f>L91*V91</f>
        <v>0</v>
      </c>
      <c r="AS91" t="n">
        <f>M91*V91</f>
        <v>0</v>
      </c>
      <c r="AT91" t="n">
        <f>N91*V91</f>
        <v>0</v>
      </c>
      <c r="AU91" t="n">
        <f>O91*V91</f>
        <v>0</v>
      </c>
      <c r="AV91" t="n">
        <f>P91*V91</f>
        <v>0</v>
      </c>
      <c r="AW91" t="n">
        <f>Q91*V91</f>
        <v>0</v>
      </c>
      <c r="AX91" t="n">
        <f>E91*W91</f>
        <v>0</v>
      </c>
      <c r="AY91" t="n">
        <f>F91*W91</f>
        <v>0</v>
      </c>
      <c r="AZ91" t="n">
        <f>G91*W91</f>
        <v>0</v>
      </c>
      <c r="BA91" t="n">
        <f>H91*W91</f>
        <v>0</v>
      </c>
      <c r="BB91" t="n">
        <f>I91*W91</f>
        <v>0</v>
      </c>
      <c r="BC91" t="n">
        <f>J91*W91</f>
        <v>0</v>
      </c>
      <c r="BD91" t="n">
        <f>K91*W91</f>
        <v>0</v>
      </c>
      <c r="BE91" t="n">
        <f>L91*W91</f>
        <v>0</v>
      </c>
      <c r="BF91" t="n">
        <f>M91*W91</f>
        <v>0</v>
      </c>
      <c r="BG91" t="n">
        <f>N91*W91</f>
        <v>0</v>
      </c>
      <c r="BH91" t="n">
        <f>O91*W91</f>
        <v>0</v>
      </c>
      <c r="BI91" t="n">
        <f>P91*W91</f>
        <v>0</v>
      </c>
      <c r="BJ91" t="n">
        <f>Q91*W91</f>
        <v>0</v>
      </c>
    </row>
    <row r="92">
      <c r="A92" t="n">
        <f>Charges!A92</f>
        <v>0</v>
      </c>
      <c r="B92" t="n">
        <f>Charges!C92</f>
        <v>0</v>
      </c>
      <c r="C92" t="str">
        <f>Charges!D92</f>
        <v/>
      </c>
      <c r="E92" t="n">
        <f>IF(1&lt;=Paramètres!$B$9,MAX(0,IFERROR(N(IF(ISNUMBER(Charges!F92),MAX(0,Charges!F92),IFERROR(VLOOKUP(Charges!F92,Paramètres!$A$15:$B$18,2,FALSE),0))),0)),0)</f>
        <v>0</v>
      </c>
      <c r="F92" t="n">
        <f>IF(2&lt;=Paramètres!$B$9,MAX(0,IFERROR(N(IF(ISNUMBER(Charges!G92),MAX(0,Charges!G92),IFERROR(VLOOKUP(Charges!G92,Paramètres!$A$15:$B$18,2,FALSE),0))),0)),0)</f>
        <v>0</v>
      </c>
      <c r="G92" t="n">
        <f>IF(3&lt;=Paramètres!$B$9,MAX(0,IFERROR(N(IF(ISNUMBER(Charges!H92),MAX(0,Charges!H92),IFERROR(VLOOKUP(Charges!H92,Paramètres!$A$15:$B$18,2,FALSE),0))),0)),0)</f>
        <v>0</v>
      </c>
      <c r="H92" t="n">
        <f>IF(4&lt;=Paramètres!$B$9,MAX(0,IFERROR(N(IF(ISNUMBER(Charges!I92),MAX(0,Charges!I92),IFERROR(VLOOKUP(Charges!I92,Paramètres!$A$15:$B$18,2,FALSE),0))),0)),0)</f>
        <v>0</v>
      </c>
      <c r="I92" t="n">
        <f>IF(5&lt;=Paramètres!$B$9,MAX(0,IFERROR(N(IF(ISNUMBER(Charges!J92),MAX(0,Charges!J92),IFERROR(VLOOKUP(Charges!J92,Paramètres!$A$15:$B$18,2,FALSE),0))),0)),0)</f>
        <v>0</v>
      </c>
      <c r="J92" t="n">
        <f>IF(6&lt;=Paramètres!$B$9,MAX(0,IFERROR(N(IF(ISNUMBER(Charges!K92),MAX(0,Charges!K92),IFERROR(VLOOKUP(Charges!K92,Paramètres!$A$15:$B$18,2,FALSE),0))),0)),0)</f>
        <v>0</v>
      </c>
      <c r="K92" t="n">
        <f>IF(7&lt;=Paramètres!$B$9,MAX(0,IFERROR(N(IF(ISNUMBER(Charges!L92),MAX(0,Charges!L92),IFERROR(VLOOKUP(Charges!L92,Paramètres!$A$15:$B$18,2,FALSE),0))),0)),0)</f>
        <v>0</v>
      </c>
      <c r="L92" t="n">
        <f>IF(8&lt;=Paramètres!$B$9,MAX(0,IFERROR(N(IF(ISNUMBER(Charges!M92),MAX(0,Charges!M92),IFERROR(VLOOKUP(Charges!M92,Paramètres!$A$15:$B$18,2,FALSE),0))),0)),0)</f>
        <v>0</v>
      </c>
      <c r="M92" t="n">
        <f>IF(9&lt;=Paramètres!$B$9,MAX(0,IFERROR(N(IF(ISNUMBER(Charges!N92),MAX(0,Charges!N92),IFERROR(VLOOKUP(Charges!N92,Paramètres!$A$15:$B$18,2,FALSE),0))),0)),0)</f>
        <v>0</v>
      </c>
      <c r="N92" t="n">
        <f>IF(10&lt;=Paramètres!$B$9,MAX(0,IFERROR(N(IF(ISNUMBER(Charges!O92),MAX(0,Charges!O92),IFERROR(VLOOKUP(Charges!O92,Paramètres!$A$15:$B$18,2,FALSE),0))),0)),0)</f>
        <v>0</v>
      </c>
      <c r="O92" t="n">
        <f>IF(11&lt;=Paramètres!$B$9,MAX(0,IFERROR(N(IF(ISNUMBER(Charges!P92),MAX(0,Charges!P92),IFERROR(VLOOKUP(Charges!P92,Paramètres!$A$15:$B$18,2,FALSE),0))),0)),0)</f>
        <v>0</v>
      </c>
      <c r="P92" t="n">
        <f>IF(12&lt;=Paramètres!$B$9,MAX(0,IFERROR(N(IF(ISNUMBER(Charges!Q92),MAX(0,Charges!Q92),IFERROR(VLOOKUP(Charges!Q92,Paramètres!$A$15:$B$18,2,FALSE),0))),0)),0)</f>
        <v>0</v>
      </c>
      <c r="Q92" t="n">
        <f>IF(13&lt;=Paramètres!$B$9,MAX(0,IFERROR(N(IF(ISNUMBER(Charges!R92),MAX(0,Charges!R92),IFERROR(VLOOKUP(Charges!R92,Paramètres!$A$15:$B$18,2,FALSE),0))),0)),0)</f>
        <v>0</v>
      </c>
      <c r="R92" t="n">
        <f>SUM(E92:Q92)</f>
        <v>0</v>
      </c>
      <c r="S92" t="n">
        <f>IF(IFERROR(VLOOKUP(A92,'Projets'!$A$8:$Z$67,7,FALSE),"")="Engager",1,0)</f>
        <v>0</v>
      </c>
      <c r="T92" t="n">
        <f>IF(OR(Charges!F92="",AND(ISNUMBER(Charges!F92),Charges!F92&gt;=0),Charges!F92="S",Charges!F92="M",Charges!F92="L",Charges!F92="XL"),0,1)+IF(OR(Charges!G92="",AND(ISNUMBER(Charges!G92),Charges!G92&gt;=0),Charges!G92="S",Charges!G92="M",Charges!G92="L",Charges!G92="XL"),0,1)+IF(OR(Charges!H92="",AND(ISNUMBER(Charges!H92),Charges!H92&gt;=0),Charges!H92="S",Charges!H92="M",Charges!H92="L",Charges!H92="XL"),0,1)+IF(OR(Charges!I92="",AND(ISNUMBER(Charges!I92),Charges!I92&gt;=0),Charges!I92="S",Charges!I92="M",Charges!I92="L",Charges!I92="XL"),0,1)+IF(OR(Charges!J92="",AND(ISNUMBER(Charges!J92),Charges!J92&gt;=0),Charges!J92="S",Charges!J92="M",Charges!J92="L",Charges!J92="XL"),0,1)+IF(OR(Charges!K92="",AND(ISNUMBER(Charges!K92),Charges!K92&gt;=0),Charges!K92="S",Charges!K92="M",Charges!K92="L",Charges!K92="XL"),0,1)+IF(OR(Charges!L92="",AND(ISNUMBER(Charges!L92),Charges!L92&gt;=0),Charges!L92="S",Charges!L92="M",Charges!L92="L",Charges!L92="XL"),0,1)+IF(OR(Charges!M92="",AND(ISNUMBER(Charges!M92),Charges!M92&gt;=0),Charges!M92="S",Charges!M92="M",Charges!M92="L",Charges!M92="XL"),0,1)+IF(OR(Charges!N92="",AND(ISNUMBER(Charges!N92),Charges!N92&gt;=0),Charges!N92="S",Charges!N92="M",Charges!N92="L",Charges!N92="XL"),0,1)+IF(OR(Charges!O92="",AND(ISNUMBER(Charges!O92),Charges!O92&gt;=0),Charges!O92="S",Charges!O92="M",Charges!O92="L",Charges!O92="XL"),0,1)+IF(OR(Charges!P92="",AND(ISNUMBER(Charges!P92),Charges!P92&gt;=0),Charges!P92="S",Charges!P92="M",Charges!P92="L",Charges!P92="XL"),0,1)+IF(OR(Charges!Q92="",AND(ISNUMBER(Charges!Q92),Charges!Q92&gt;=0),Charges!Q92="S",Charges!Q92="M",Charges!Q92="L",Charges!Q92="XL"),0,1)+IF(OR(Charges!R92="",AND(ISNUMBER(Charges!R92),Charges!R92&gt;=0),Charges!R92="S",Charges!R92="M",Charges!R92="L",Charges!R92="XL"),0,1)</f>
        <v>0</v>
      </c>
      <c r="U92" t="n">
        <f>IF(AND(1&gt;Paramètres!$B$9,Charges!F92&lt;&gt;"",Charges!F92&lt;&gt;0),1,0)+IF(AND(2&gt;Paramètres!$B$9,Charges!G92&lt;&gt;"",Charges!G92&lt;&gt;0),1,0)+IF(AND(3&gt;Paramètres!$B$9,Charges!H92&lt;&gt;"",Charges!H92&lt;&gt;0),1,0)+IF(AND(4&gt;Paramètres!$B$9,Charges!I92&lt;&gt;"",Charges!I92&lt;&gt;0),1,0)+IF(AND(5&gt;Paramètres!$B$9,Charges!J92&lt;&gt;"",Charges!J92&lt;&gt;0),1,0)+IF(AND(6&gt;Paramètres!$B$9,Charges!K92&lt;&gt;"",Charges!K92&lt;&gt;0),1,0)+IF(AND(7&gt;Paramètres!$B$9,Charges!L92&lt;&gt;"",Charges!L92&lt;&gt;0),1,0)+IF(AND(8&gt;Paramètres!$B$9,Charges!M92&lt;&gt;"",Charges!M92&lt;&gt;0),1,0)+IF(AND(9&gt;Paramètres!$B$9,Charges!N92&lt;&gt;"",Charges!N92&lt;&gt;0),1,0)+IF(AND(10&gt;Paramètres!$B$9,Charges!O92&lt;&gt;"",Charges!O92&lt;&gt;0),1,0)+IF(AND(11&gt;Paramètres!$B$9,Charges!P92&lt;&gt;"",Charges!P92&lt;&gt;0),1,0)+IF(AND(12&gt;Paramètres!$B$9,Charges!Q92&lt;&gt;"",Charges!Q92&lt;&gt;0),1,0)+IF(AND(13&gt;Paramètres!$B$9,Charges!R92&lt;&gt;"",Charges!R92&lt;&gt;0),1,0)</f>
        <v>0</v>
      </c>
      <c r="V92" t="n">
        <f>IF(IFERROR(VLOOKUP(A92,'Projets'!$A$8:$Z$67,5,FALSE),"")="Engager",1,0)</f>
        <v>0</v>
      </c>
      <c r="W92" t="n">
        <f>IF(IFERROR(VLOOKUP(A92,'Projets'!$A$8:$Z$67,6,FALSE),"")="Engager",1,0)</f>
        <v>0</v>
      </c>
      <c r="X92" t="n">
        <f>E92*S92</f>
        <v>0</v>
      </c>
      <c r="Y92" t="n">
        <f>F92*S92</f>
        <v>0</v>
      </c>
      <c r="Z92" t="n">
        <f>G92*S92</f>
        <v>0</v>
      </c>
      <c r="AA92" t="n">
        <f>H92*S92</f>
        <v>0</v>
      </c>
      <c r="AB92" t="n">
        <f>I92*S92</f>
        <v>0</v>
      </c>
      <c r="AC92" t="n">
        <f>J92*S92</f>
        <v>0</v>
      </c>
      <c r="AD92" t="n">
        <f>K92*S92</f>
        <v>0</v>
      </c>
      <c r="AE92" t="n">
        <f>L92*S92</f>
        <v>0</v>
      </c>
      <c r="AF92" t="n">
        <f>M92*S92</f>
        <v>0</v>
      </c>
      <c r="AG92" t="n">
        <f>N92*S92</f>
        <v>0</v>
      </c>
      <c r="AH92" t="n">
        <f>O92*S92</f>
        <v>0</v>
      </c>
      <c r="AI92" t="n">
        <f>P92*S92</f>
        <v>0</v>
      </c>
      <c r="AJ92" t="n">
        <f>Q92*S92</f>
        <v>0</v>
      </c>
      <c r="AK92" t="n">
        <f>E92*V92</f>
        <v>0</v>
      </c>
      <c r="AL92" t="n">
        <f>F92*V92</f>
        <v>0</v>
      </c>
      <c r="AM92" t="n">
        <f>G92*V92</f>
        <v>0</v>
      </c>
      <c r="AN92" t="n">
        <f>H92*V92</f>
        <v>0</v>
      </c>
      <c r="AO92" t="n">
        <f>I92*V92</f>
        <v>0</v>
      </c>
      <c r="AP92" t="n">
        <f>J92*V92</f>
        <v>0</v>
      </c>
      <c r="AQ92" t="n">
        <f>K92*V92</f>
        <v>0</v>
      </c>
      <c r="AR92" t="n">
        <f>L92*V92</f>
        <v>0</v>
      </c>
      <c r="AS92" t="n">
        <f>M92*V92</f>
        <v>0</v>
      </c>
      <c r="AT92" t="n">
        <f>N92*V92</f>
        <v>0</v>
      </c>
      <c r="AU92" t="n">
        <f>O92*V92</f>
        <v>0</v>
      </c>
      <c r="AV92" t="n">
        <f>P92*V92</f>
        <v>0</v>
      </c>
      <c r="AW92" t="n">
        <f>Q92*V92</f>
        <v>0</v>
      </c>
      <c r="AX92" t="n">
        <f>E92*W92</f>
        <v>0</v>
      </c>
      <c r="AY92" t="n">
        <f>F92*W92</f>
        <v>0</v>
      </c>
      <c r="AZ92" t="n">
        <f>G92*W92</f>
        <v>0</v>
      </c>
      <c r="BA92" t="n">
        <f>H92*W92</f>
        <v>0</v>
      </c>
      <c r="BB92" t="n">
        <f>I92*W92</f>
        <v>0</v>
      </c>
      <c r="BC92" t="n">
        <f>J92*W92</f>
        <v>0</v>
      </c>
      <c r="BD92" t="n">
        <f>K92*W92</f>
        <v>0</v>
      </c>
      <c r="BE92" t="n">
        <f>L92*W92</f>
        <v>0</v>
      </c>
      <c r="BF92" t="n">
        <f>M92*W92</f>
        <v>0</v>
      </c>
      <c r="BG92" t="n">
        <f>N92*W92</f>
        <v>0</v>
      </c>
      <c r="BH92" t="n">
        <f>O92*W92</f>
        <v>0</v>
      </c>
      <c r="BI92" t="n">
        <f>P92*W92</f>
        <v>0</v>
      </c>
      <c r="BJ92" t="n">
        <f>Q92*W92</f>
        <v>0</v>
      </c>
    </row>
    <row r="93">
      <c r="A93" t="n">
        <f>Charges!A93</f>
        <v>0</v>
      </c>
      <c r="B93" t="n">
        <f>Charges!C93</f>
        <v>0</v>
      </c>
      <c r="C93" t="str">
        <f>Charges!D93</f>
        <v/>
      </c>
      <c r="E93" t="n">
        <f>IF(1&lt;=Paramètres!$B$9,MAX(0,IFERROR(N(IF(ISNUMBER(Charges!F93),MAX(0,Charges!F93),IFERROR(VLOOKUP(Charges!F93,Paramètres!$A$15:$B$18,2,FALSE),0))),0)),0)</f>
        <v>0</v>
      </c>
      <c r="F93" t="n">
        <f>IF(2&lt;=Paramètres!$B$9,MAX(0,IFERROR(N(IF(ISNUMBER(Charges!G93),MAX(0,Charges!G93),IFERROR(VLOOKUP(Charges!G93,Paramètres!$A$15:$B$18,2,FALSE),0))),0)),0)</f>
        <v>0</v>
      </c>
      <c r="G93" t="n">
        <f>IF(3&lt;=Paramètres!$B$9,MAX(0,IFERROR(N(IF(ISNUMBER(Charges!H93),MAX(0,Charges!H93),IFERROR(VLOOKUP(Charges!H93,Paramètres!$A$15:$B$18,2,FALSE),0))),0)),0)</f>
        <v>0</v>
      </c>
      <c r="H93" t="n">
        <f>IF(4&lt;=Paramètres!$B$9,MAX(0,IFERROR(N(IF(ISNUMBER(Charges!I93),MAX(0,Charges!I93),IFERROR(VLOOKUP(Charges!I93,Paramètres!$A$15:$B$18,2,FALSE),0))),0)),0)</f>
        <v>0</v>
      </c>
      <c r="I93" t="n">
        <f>IF(5&lt;=Paramètres!$B$9,MAX(0,IFERROR(N(IF(ISNUMBER(Charges!J93),MAX(0,Charges!J93),IFERROR(VLOOKUP(Charges!J93,Paramètres!$A$15:$B$18,2,FALSE),0))),0)),0)</f>
        <v>0</v>
      </c>
      <c r="J93" t="n">
        <f>IF(6&lt;=Paramètres!$B$9,MAX(0,IFERROR(N(IF(ISNUMBER(Charges!K93),MAX(0,Charges!K93),IFERROR(VLOOKUP(Charges!K93,Paramètres!$A$15:$B$18,2,FALSE),0))),0)),0)</f>
        <v>0</v>
      </c>
      <c r="K93" t="n">
        <f>IF(7&lt;=Paramètres!$B$9,MAX(0,IFERROR(N(IF(ISNUMBER(Charges!L93),MAX(0,Charges!L93),IFERROR(VLOOKUP(Charges!L93,Paramètres!$A$15:$B$18,2,FALSE),0))),0)),0)</f>
        <v>0</v>
      </c>
      <c r="L93" t="n">
        <f>IF(8&lt;=Paramètres!$B$9,MAX(0,IFERROR(N(IF(ISNUMBER(Charges!M93),MAX(0,Charges!M93),IFERROR(VLOOKUP(Charges!M93,Paramètres!$A$15:$B$18,2,FALSE),0))),0)),0)</f>
        <v>0</v>
      </c>
      <c r="M93" t="n">
        <f>IF(9&lt;=Paramètres!$B$9,MAX(0,IFERROR(N(IF(ISNUMBER(Charges!N93),MAX(0,Charges!N93),IFERROR(VLOOKUP(Charges!N93,Paramètres!$A$15:$B$18,2,FALSE),0))),0)),0)</f>
        <v>0</v>
      </c>
      <c r="N93" t="n">
        <f>IF(10&lt;=Paramètres!$B$9,MAX(0,IFERROR(N(IF(ISNUMBER(Charges!O93),MAX(0,Charges!O93),IFERROR(VLOOKUP(Charges!O93,Paramètres!$A$15:$B$18,2,FALSE),0))),0)),0)</f>
        <v>0</v>
      </c>
      <c r="O93" t="n">
        <f>IF(11&lt;=Paramètres!$B$9,MAX(0,IFERROR(N(IF(ISNUMBER(Charges!P93),MAX(0,Charges!P93),IFERROR(VLOOKUP(Charges!P93,Paramètres!$A$15:$B$18,2,FALSE),0))),0)),0)</f>
        <v>0</v>
      </c>
      <c r="P93" t="n">
        <f>IF(12&lt;=Paramètres!$B$9,MAX(0,IFERROR(N(IF(ISNUMBER(Charges!Q93),MAX(0,Charges!Q93),IFERROR(VLOOKUP(Charges!Q93,Paramètres!$A$15:$B$18,2,FALSE),0))),0)),0)</f>
        <v>0</v>
      </c>
      <c r="Q93" t="n">
        <f>IF(13&lt;=Paramètres!$B$9,MAX(0,IFERROR(N(IF(ISNUMBER(Charges!R93),MAX(0,Charges!R93),IFERROR(VLOOKUP(Charges!R93,Paramètres!$A$15:$B$18,2,FALSE),0))),0)),0)</f>
        <v>0</v>
      </c>
      <c r="R93" t="n">
        <f>SUM(E93:Q93)</f>
        <v>0</v>
      </c>
      <c r="S93" t="n">
        <f>IF(IFERROR(VLOOKUP(A93,'Projets'!$A$8:$Z$67,7,FALSE),"")="Engager",1,0)</f>
        <v>0</v>
      </c>
      <c r="T93" t="n">
        <f>IF(OR(Charges!F93="",AND(ISNUMBER(Charges!F93),Charges!F93&gt;=0),Charges!F93="S",Charges!F93="M",Charges!F93="L",Charges!F93="XL"),0,1)+IF(OR(Charges!G93="",AND(ISNUMBER(Charges!G93),Charges!G93&gt;=0),Charges!G93="S",Charges!G93="M",Charges!G93="L",Charges!G93="XL"),0,1)+IF(OR(Charges!H93="",AND(ISNUMBER(Charges!H93),Charges!H93&gt;=0),Charges!H93="S",Charges!H93="M",Charges!H93="L",Charges!H93="XL"),0,1)+IF(OR(Charges!I93="",AND(ISNUMBER(Charges!I93),Charges!I93&gt;=0),Charges!I93="S",Charges!I93="M",Charges!I93="L",Charges!I93="XL"),0,1)+IF(OR(Charges!J93="",AND(ISNUMBER(Charges!J93),Charges!J93&gt;=0),Charges!J93="S",Charges!J93="M",Charges!J93="L",Charges!J93="XL"),0,1)+IF(OR(Charges!K93="",AND(ISNUMBER(Charges!K93),Charges!K93&gt;=0),Charges!K93="S",Charges!K93="M",Charges!K93="L",Charges!K93="XL"),0,1)+IF(OR(Charges!L93="",AND(ISNUMBER(Charges!L93),Charges!L93&gt;=0),Charges!L93="S",Charges!L93="M",Charges!L93="L",Charges!L93="XL"),0,1)+IF(OR(Charges!M93="",AND(ISNUMBER(Charges!M93),Charges!M93&gt;=0),Charges!M93="S",Charges!M93="M",Charges!M93="L",Charges!M93="XL"),0,1)+IF(OR(Charges!N93="",AND(ISNUMBER(Charges!N93),Charges!N93&gt;=0),Charges!N93="S",Charges!N93="M",Charges!N93="L",Charges!N93="XL"),0,1)+IF(OR(Charges!O93="",AND(ISNUMBER(Charges!O93),Charges!O93&gt;=0),Charges!O93="S",Charges!O93="M",Charges!O93="L",Charges!O93="XL"),0,1)+IF(OR(Charges!P93="",AND(ISNUMBER(Charges!P93),Charges!P93&gt;=0),Charges!P93="S",Charges!P93="M",Charges!P93="L",Charges!P93="XL"),0,1)+IF(OR(Charges!Q93="",AND(ISNUMBER(Charges!Q93),Charges!Q93&gt;=0),Charges!Q93="S",Charges!Q93="M",Charges!Q93="L",Charges!Q93="XL"),0,1)+IF(OR(Charges!R93="",AND(ISNUMBER(Charges!R93),Charges!R93&gt;=0),Charges!R93="S",Charges!R93="M",Charges!R93="L",Charges!R93="XL"),0,1)</f>
        <v>0</v>
      </c>
      <c r="U93" t="n">
        <f>IF(AND(1&gt;Paramètres!$B$9,Charges!F93&lt;&gt;"",Charges!F93&lt;&gt;0),1,0)+IF(AND(2&gt;Paramètres!$B$9,Charges!G93&lt;&gt;"",Charges!G93&lt;&gt;0),1,0)+IF(AND(3&gt;Paramètres!$B$9,Charges!H93&lt;&gt;"",Charges!H93&lt;&gt;0),1,0)+IF(AND(4&gt;Paramètres!$B$9,Charges!I93&lt;&gt;"",Charges!I93&lt;&gt;0),1,0)+IF(AND(5&gt;Paramètres!$B$9,Charges!J93&lt;&gt;"",Charges!J93&lt;&gt;0),1,0)+IF(AND(6&gt;Paramètres!$B$9,Charges!K93&lt;&gt;"",Charges!K93&lt;&gt;0),1,0)+IF(AND(7&gt;Paramètres!$B$9,Charges!L93&lt;&gt;"",Charges!L93&lt;&gt;0),1,0)+IF(AND(8&gt;Paramètres!$B$9,Charges!M93&lt;&gt;"",Charges!M93&lt;&gt;0),1,0)+IF(AND(9&gt;Paramètres!$B$9,Charges!N93&lt;&gt;"",Charges!N93&lt;&gt;0),1,0)+IF(AND(10&gt;Paramètres!$B$9,Charges!O93&lt;&gt;"",Charges!O93&lt;&gt;0),1,0)+IF(AND(11&gt;Paramètres!$B$9,Charges!P93&lt;&gt;"",Charges!P93&lt;&gt;0),1,0)+IF(AND(12&gt;Paramètres!$B$9,Charges!Q93&lt;&gt;"",Charges!Q93&lt;&gt;0),1,0)+IF(AND(13&gt;Paramètres!$B$9,Charges!R93&lt;&gt;"",Charges!R93&lt;&gt;0),1,0)</f>
        <v>0</v>
      </c>
      <c r="V93" t="n">
        <f>IF(IFERROR(VLOOKUP(A93,'Projets'!$A$8:$Z$67,5,FALSE),"")="Engager",1,0)</f>
        <v>0</v>
      </c>
      <c r="W93" t="n">
        <f>IF(IFERROR(VLOOKUP(A93,'Projets'!$A$8:$Z$67,6,FALSE),"")="Engager",1,0)</f>
        <v>0</v>
      </c>
      <c r="X93" t="n">
        <f>E93*S93</f>
        <v>0</v>
      </c>
      <c r="Y93" t="n">
        <f>F93*S93</f>
        <v>0</v>
      </c>
      <c r="Z93" t="n">
        <f>G93*S93</f>
        <v>0</v>
      </c>
      <c r="AA93" t="n">
        <f>H93*S93</f>
        <v>0</v>
      </c>
      <c r="AB93" t="n">
        <f>I93*S93</f>
        <v>0</v>
      </c>
      <c r="AC93" t="n">
        <f>J93*S93</f>
        <v>0</v>
      </c>
      <c r="AD93" t="n">
        <f>K93*S93</f>
        <v>0</v>
      </c>
      <c r="AE93" t="n">
        <f>L93*S93</f>
        <v>0</v>
      </c>
      <c r="AF93" t="n">
        <f>M93*S93</f>
        <v>0</v>
      </c>
      <c r="AG93" t="n">
        <f>N93*S93</f>
        <v>0</v>
      </c>
      <c r="AH93" t="n">
        <f>O93*S93</f>
        <v>0</v>
      </c>
      <c r="AI93" t="n">
        <f>P93*S93</f>
        <v>0</v>
      </c>
      <c r="AJ93" t="n">
        <f>Q93*S93</f>
        <v>0</v>
      </c>
      <c r="AK93" t="n">
        <f>E93*V93</f>
        <v>0</v>
      </c>
      <c r="AL93" t="n">
        <f>F93*V93</f>
        <v>0</v>
      </c>
      <c r="AM93" t="n">
        <f>G93*V93</f>
        <v>0</v>
      </c>
      <c r="AN93" t="n">
        <f>H93*V93</f>
        <v>0</v>
      </c>
      <c r="AO93" t="n">
        <f>I93*V93</f>
        <v>0</v>
      </c>
      <c r="AP93" t="n">
        <f>J93*V93</f>
        <v>0</v>
      </c>
      <c r="AQ93" t="n">
        <f>K93*V93</f>
        <v>0</v>
      </c>
      <c r="AR93" t="n">
        <f>L93*V93</f>
        <v>0</v>
      </c>
      <c r="AS93" t="n">
        <f>M93*V93</f>
        <v>0</v>
      </c>
      <c r="AT93" t="n">
        <f>N93*V93</f>
        <v>0</v>
      </c>
      <c r="AU93" t="n">
        <f>O93*V93</f>
        <v>0</v>
      </c>
      <c r="AV93" t="n">
        <f>P93*V93</f>
        <v>0</v>
      </c>
      <c r="AW93" t="n">
        <f>Q93*V93</f>
        <v>0</v>
      </c>
      <c r="AX93" t="n">
        <f>E93*W93</f>
        <v>0</v>
      </c>
      <c r="AY93" t="n">
        <f>F93*W93</f>
        <v>0</v>
      </c>
      <c r="AZ93" t="n">
        <f>G93*W93</f>
        <v>0</v>
      </c>
      <c r="BA93" t="n">
        <f>H93*W93</f>
        <v>0</v>
      </c>
      <c r="BB93" t="n">
        <f>I93*W93</f>
        <v>0</v>
      </c>
      <c r="BC93" t="n">
        <f>J93*W93</f>
        <v>0</v>
      </c>
      <c r="BD93" t="n">
        <f>K93*W93</f>
        <v>0</v>
      </c>
      <c r="BE93" t="n">
        <f>L93*W93</f>
        <v>0</v>
      </c>
      <c r="BF93" t="n">
        <f>M93*W93</f>
        <v>0</v>
      </c>
      <c r="BG93" t="n">
        <f>N93*W93</f>
        <v>0</v>
      </c>
      <c r="BH93" t="n">
        <f>O93*W93</f>
        <v>0</v>
      </c>
      <c r="BI93" t="n">
        <f>P93*W93</f>
        <v>0</v>
      </c>
      <c r="BJ93" t="n">
        <f>Q93*W93</f>
        <v>0</v>
      </c>
    </row>
    <row r="94">
      <c r="A94" t="n">
        <f>Charges!A94</f>
        <v>0</v>
      </c>
      <c r="B94" t="n">
        <f>Charges!C94</f>
        <v>0</v>
      </c>
      <c r="C94" t="str">
        <f>Charges!D94</f>
        <v/>
      </c>
      <c r="E94" t="n">
        <f>IF(1&lt;=Paramètres!$B$9,MAX(0,IFERROR(N(IF(ISNUMBER(Charges!F94),MAX(0,Charges!F94),IFERROR(VLOOKUP(Charges!F94,Paramètres!$A$15:$B$18,2,FALSE),0))),0)),0)</f>
        <v>0</v>
      </c>
      <c r="F94" t="n">
        <f>IF(2&lt;=Paramètres!$B$9,MAX(0,IFERROR(N(IF(ISNUMBER(Charges!G94),MAX(0,Charges!G94),IFERROR(VLOOKUP(Charges!G94,Paramètres!$A$15:$B$18,2,FALSE),0))),0)),0)</f>
        <v>0</v>
      </c>
      <c r="G94" t="n">
        <f>IF(3&lt;=Paramètres!$B$9,MAX(0,IFERROR(N(IF(ISNUMBER(Charges!H94),MAX(0,Charges!H94),IFERROR(VLOOKUP(Charges!H94,Paramètres!$A$15:$B$18,2,FALSE),0))),0)),0)</f>
        <v>0</v>
      </c>
      <c r="H94" t="n">
        <f>IF(4&lt;=Paramètres!$B$9,MAX(0,IFERROR(N(IF(ISNUMBER(Charges!I94),MAX(0,Charges!I94),IFERROR(VLOOKUP(Charges!I94,Paramètres!$A$15:$B$18,2,FALSE),0))),0)),0)</f>
        <v>0</v>
      </c>
      <c r="I94" t="n">
        <f>IF(5&lt;=Paramètres!$B$9,MAX(0,IFERROR(N(IF(ISNUMBER(Charges!J94),MAX(0,Charges!J94),IFERROR(VLOOKUP(Charges!J94,Paramètres!$A$15:$B$18,2,FALSE),0))),0)),0)</f>
        <v>0</v>
      </c>
      <c r="J94" t="n">
        <f>IF(6&lt;=Paramètres!$B$9,MAX(0,IFERROR(N(IF(ISNUMBER(Charges!K94),MAX(0,Charges!K94),IFERROR(VLOOKUP(Charges!K94,Paramètres!$A$15:$B$18,2,FALSE),0))),0)),0)</f>
        <v>0</v>
      </c>
      <c r="K94" t="n">
        <f>IF(7&lt;=Paramètres!$B$9,MAX(0,IFERROR(N(IF(ISNUMBER(Charges!L94),MAX(0,Charges!L94),IFERROR(VLOOKUP(Charges!L94,Paramètres!$A$15:$B$18,2,FALSE),0))),0)),0)</f>
        <v>0</v>
      </c>
      <c r="L94" t="n">
        <f>IF(8&lt;=Paramètres!$B$9,MAX(0,IFERROR(N(IF(ISNUMBER(Charges!M94),MAX(0,Charges!M94),IFERROR(VLOOKUP(Charges!M94,Paramètres!$A$15:$B$18,2,FALSE),0))),0)),0)</f>
        <v>0</v>
      </c>
      <c r="M94" t="n">
        <f>IF(9&lt;=Paramètres!$B$9,MAX(0,IFERROR(N(IF(ISNUMBER(Charges!N94),MAX(0,Charges!N94),IFERROR(VLOOKUP(Charges!N94,Paramètres!$A$15:$B$18,2,FALSE),0))),0)),0)</f>
        <v>0</v>
      </c>
      <c r="N94" t="n">
        <f>IF(10&lt;=Paramètres!$B$9,MAX(0,IFERROR(N(IF(ISNUMBER(Charges!O94),MAX(0,Charges!O94),IFERROR(VLOOKUP(Charges!O94,Paramètres!$A$15:$B$18,2,FALSE),0))),0)),0)</f>
        <v>0</v>
      </c>
      <c r="O94" t="n">
        <f>IF(11&lt;=Paramètres!$B$9,MAX(0,IFERROR(N(IF(ISNUMBER(Charges!P94),MAX(0,Charges!P94),IFERROR(VLOOKUP(Charges!P94,Paramètres!$A$15:$B$18,2,FALSE),0))),0)),0)</f>
        <v>0</v>
      </c>
      <c r="P94" t="n">
        <f>IF(12&lt;=Paramètres!$B$9,MAX(0,IFERROR(N(IF(ISNUMBER(Charges!Q94),MAX(0,Charges!Q94),IFERROR(VLOOKUP(Charges!Q94,Paramètres!$A$15:$B$18,2,FALSE),0))),0)),0)</f>
        <v>0</v>
      </c>
      <c r="Q94" t="n">
        <f>IF(13&lt;=Paramètres!$B$9,MAX(0,IFERROR(N(IF(ISNUMBER(Charges!R94),MAX(0,Charges!R94),IFERROR(VLOOKUP(Charges!R94,Paramètres!$A$15:$B$18,2,FALSE),0))),0)),0)</f>
        <v>0</v>
      </c>
      <c r="R94" t="n">
        <f>SUM(E94:Q94)</f>
        <v>0</v>
      </c>
      <c r="S94" t="n">
        <f>IF(IFERROR(VLOOKUP(A94,'Projets'!$A$8:$Z$67,7,FALSE),"")="Engager",1,0)</f>
        <v>0</v>
      </c>
      <c r="T94" t="n">
        <f>IF(OR(Charges!F94="",AND(ISNUMBER(Charges!F94),Charges!F94&gt;=0),Charges!F94="S",Charges!F94="M",Charges!F94="L",Charges!F94="XL"),0,1)+IF(OR(Charges!G94="",AND(ISNUMBER(Charges!G94),Charges!G94&gt;=0),Charges!G94="S",Charges!G94="M",Charges!G94="L",Charges!G94="XL"),0,1)+IF(OR(Charges!H94="",AND(ISNUMBER(Charges!H94),Charges!H94&gt;=0),Charges!H94="S",Charges!H94="M",Charges!H94="L",Charges!H94="XL"),0,1)+IF(OR(Charges!I94="",AND(ISNUMBER(Charges!I94),Charges!I94&gt;=0),Charges!I94="S",Charges!I94="M",Charges!I94="L",Charges!I94="XL"),0,1)+IF(OR(Charges!J94="",AND(ISNUMBER(Charges!J94),Charges!J94&gt;=0),Charges!J94="S",Charges!J94="M",Charges!J94="L",Charges!J94="XL"),0,1)+IF(OR(Charges!K94="",AND(ISNUMBER(Charges!K94),Charges!K94&gt;=0),Charges!K94="S",Charges!K94="M",Charges!K94="L",Charges!K94="XL"),0,1)+IF(OR(Charges!L94="",AND(ISNUMBER(Charges!L94),Charges!L94&gt;=0),Charges!L94="S",Charges!L94="M",Charges!L94="L",Charges!L94="XL"),0,1)+IF(OR(Charges!M94="",AND(ISNUMBER(Charges!M94),Charges!M94&gt;=0),Charges!M94="S",Charges!M94="M",Charges!M94="L",Charges!M94="XL"),0,1)+IF(OR(Charges!N94="",AND(ISNUMBER(Charges!N94),Charges!N94&gt;=0),Charges!N94="S",Charges!N94="M",Charges!N94="L",Charges!N94="XL"),0,1)+IF(OR(Charges!O94="",AND(ISNUMBER(Charges!O94),Charges!O94&gt;=0),Charges!O94="S",Charges!O94="M",Charges!O94="L",Charges!O94="XL"),0,1)+IF(OR(Charges!P94="",AND(ISNUMBER(Charges!P94),Charges!P94&gt;=0),Charges!P94="S",Charges!P94="M",Charges!P94="L",Charges!P94="XL"),0,1)+IF(OR(Charges!Q94="",AND(ISNUMBER(Charges!Q94),Charges!Q94&gt;=0),Charges!Q94="S",Charges!Q94="M",Charges!Q94="L",Charges!Q94="XL"),0,1)+IF(OR(Charges!R94="",AND(ISNUMBER(Charges!R94),Charges!R94&gt;=0),Charges!R94="S",Charges!R94="M",Charges!R94="L",Charges!R94="XL"),0,1)</f>
        <v>0</v>
      </c>
      <c r="U94" t="n">
        <f>IF(AND(1&gt;Paramètres!$B$9,Charges!F94&lt;&gt;"",Charges!F94&lt;&gt;0),1,0)+IF(AND(2&gt;Paramètres!$B$9,Charges!G94&lt;&gt;"",Charges!G94&lt;&gt;0),1,0)+IF(AND(3&gt;Paramètres!$B$9,Charges!H94&lt;&gt;"",Charges!H94&lt;&gt;0),1,0)+IF(AND(4&gt;Paramètres!$B$9,Charges!I94&lt;&gt;"",Charges!I94&lt;&gt;0),1,0)+IF(AND(5&gt;Paramètres!$B$9,Charges!J94&lt;&gt;"",Charges!J94&lt;&gt;0),1,0)+IF(AND(6&gt;Paramètres!$B$9,Charges!K94&lt;&gt;"",Charges!K94&lt;&gt;0),1,0)+IF(AND(7&gt;Paramètres!$B$9,Charges!L94&lt;&gt;"",Charges!L94&lt;&gt;0),1,0)+IF(AND(8&gt;Paramètres!$B$9,Charges!M94&lt;&gt;"",Charges!M94&lt;&gt;0),1,0)+IF(AND(9&gt;Paramètres!$B$9,Charges!N94&lt;&gt;"",Charges!N94&lt;&gt;0),1,0)+IF(AND(10&gt;Paramètres!$B$9,Charges!O94&lt;&gt;"",Charges!O94&lt;&gt;0),1,0)+IF(AND(11&gt;Paramètres!$B$9,Charges!P94&lt;&gt;"",Charges!P94&lt;&gt;0),1,0)+IF(AND(12&gt;Paramètres!$B$9,Charges!Q94&lt;&gt;"",Charges!Q94&lt;&gt;0),1,0)+IF(AND(13&gt;Paramètres!$B$9,Charges!R94&lt;&gt;"",Charges!R94&lt;&gt;0),1,0)</f>
        <v>0</v>
      </c>
      <c r="V94" t="n">
        <f>IF(IFERROR(VLOOKUP(A94,'Projets'!$A$8:$Z$67,5,FALSE),"")="Engager",1,0)</f>
        <v>0</v>
      </c>
      <c r="W94" t="n">
        <f>IF(IFERROR(VLOOKUP(A94,'Projets'!$A$8:$Z$67,6,FALSE),"")="Engager",1,0)</f>
        <v>0</v>
      </c>
      <c r="X94" t="n">
        <f>E94*S94</f>
        <v>0</v>
      </c>
      <c r="Y94" t="n">
        <f>F94*S94</f>
        <v>0</v>
      </c>
      <c r="Z94" t="n">
        <f>G94*S94</f>
        <v>0</v>
      </c>
      <c r="AA94" t="n">
        <f>H94*S94</f>
        <v>0</v>
      </c>
      <c r="AB94" t="n">
        <f>I94*S94</f>
        <v>0</v>
      </c>
      <c r="AC94" t="n">
        <f>J94*S94</f>
        <v>0</v>
      </c>
      <c r="AD94" t="n">
        <f>K94*S94</f>
        <v>0</v>
      </c>
      <c r="AE94" t="n">
        <f>L94*S94</f>
        <v>0</v>
      </c>
      <c r="AF94" t="n">
        <f>M94*S94</f>
        <v>0</v>
      </c>
      <c r="AG94" t="n">
        <f>N94*S94</f>
        <v>0</v>
      </c>
      <c r="AH94" t="n">
        <f>O94*S94</f>
        <v>0</v>
      </c>
      <c r="AI94" t="n">
        <f>P94*S94</f>
        <v>0</v>
      </c>
      <c r="AJ94" t="n">
        <f>Q94*S94</f>
        <v>0</v>
      </c>
      <c r="AK94" t="n">
        <f>E94*V94</f>
        <v>0</v>
      </c>
      <c r="AL94" t="n">
        <f>F94*V94</f>
        <v>0</v>
      </c>
      <c r="AM94" t="n">
        <f>G94*V94</f>
        <v>0</v>
      </c>
      <c r="AN94" t="n">
        <f>H94*V94</f>
        <v>0</v>
      </c>
      <c r="AO94" t="n">
        <f>I94*V94</f>
        <v>0</v>
      </c>
      <c r="AP94" t="n">
        <f>J94*V94</f>
        <v>0</v>
      </c>
      <c r="AQ94" t="n">
        <f>K94*V94</f>
        <v>0</v>
      </c>
      <c r="AR94" t="n">
        <f>L94*V94</f>
        <v>0</v>
      </c>
      <c r="AS94" t="n">
        <f>M94*V94</f>
        <v>0</v>
      </c>
      <c r="AT94" t="n">
        <f>N94*V94</f>
        <v>0</v>
      </c>
      <c r="AU94" t="n">
        <f>O94*V94</f>
        <v>0</v>
      </c>
      <c r="AV94" t="n">
        <f>P94*V94</f>
        <v>0</v>
      </c>
      <c r="AW94" t="n">
        <f>Q94*V94</f>
        <v>0</v>
      </c>
      <c r="AX94" t="n">
        <f>E94*W94</f>
        <v>0</v>
      </c>
      <c r="AY94" t="n">
        <f>F94*W94</f>
        <v>0</v>
      </c>
      <c r="AZ94" t="n">
        <f>G94*W94</f>
        <v>0</v>
      </c>
      <c r="BA94" t="n">
        <f>H94*W94</f>
        <v>0</v>
      </c>
      <c r="BB94" t="n">
        <f>I94*W94</f>
        <v>0</v>
      </c>
      <c r="BC94" t="n">
        <f>J94*W94</f>
        <v>0</v>
      </c>
      <c r="BD94" t="n">
        <f>K94*W94</f>
        <v>0</v>
      </c>
      <c r="BE94" t="n">
        <f>L94*W94</f>
        <v>0</v>
      </c>
      <c r="BF94" t="n">
        <f>M94*W94</f>
        <v>0</v>
      </c>
      <c r="BG94" t="n">
        <f>N94*W94</f>
        <v>0</v>
      </c>
      <c r="BH94" t="n">
        <f>O94*W94</f>
        <v>0</v>
      </c>
      <c r="BI94" t="n">
        <f>P94*W94</f>
        <v>0</v>
      </c>
      <c r="BJ94" t="n">
        <f>Q94*W94</f>
        <v>0</v>
      </c>
    </row>
    <row r="95">
      <c r="A95" t="n">
        <f>Charges!A95</f>
        <v>0</v>
      </c>
      <c r="B95" t="n">
        <f>Charges!C95</f>
        <v>0</v>
      </c>
      <c r="C95" t="str">
        <f>Charges!D95</f>
        <v/>
      </c>
      <c r="E95" t="n">
        <f>IF(1&lt;=Paramètres!$B$9,MAX(0,IFERROR(N(IF(ISNUMBER(Charges!F95),MAX(0,Charges!F95),IFERROR(VLOOKUP(Charges!F95,Paramètres!$A$15:$B$18,2,FALSE),0))),0)),0)</f>
        <v>0</v>
      </c>
      <c r="F95" t="n">
        <f>IF(2&lt;=Paramètres!$B$9,MAX(0,IFERROR(N(IF(ISNUMBER(Charges!G95),MAX(0,Charges!G95),IFERROR(VLOOKUP(Charges!G95,Paramètres!$A$15:$B$18,2,FALSE),0))),0)),0)</f>
        <v>0</v>
      </c>
      <c r="G95" t="n">
        <f>IF(3&lt;=Paramètres!$B$9,MAX(0,IFERROR(N(IF(ISNUMBER(Charges!H95),MAX(0,Charges!H95),IFERROR(VLOOKUP(Charges!H95,Paramètres!$A$15:$B$18,2,FALSE),0))),0)),0)</f>
        <v>0</v>
      </c>
      <c r="H95" t="n">
        <f>IF(4&lt;=Paramètres!$B$9,MAX(0,IFERROR(N(IF(ISNUMBER(Charges!I95),MAX(0,Charges!I95),IFERROR(VLOOKUP(Charges!I95,Paramètres!$A$15:$B$18,2,FALSE),0))),0)),0)</f>
        <v>0</v>
      </c>
      <c r="I95" t="n">
        <f>IF(5&lt;=Paramètres!$B$9,MAX(0,IFERROR(N(IF(ISNUMBER(Charges!J95),MAX(0,Charges!J95),IFERROR(VLOOKUP(Charges!J95,Paramètres!$A$15:$B$18,2,FALSE),0))),0)),0)</f>
        <v>0</v>
      </c>
      <c r="J95" t="n">
        <f>IF(6&lt;=Paramètres!$B$9,MAX(0,IFERROR(N(IF(ISNUMBER(Charges!K95),MAX(0,Charges!K95),IFERROR(VLOOKUP(Charges!K95,Paramètres!$A$15:$B$18,2,FALSE),0))),0)),0)</f>
        <v>0</v>
      </c>
      <c r="K95" t="n">
        <f>IF(7&lt;=Paramètres!$B$9,MAX(0,IFERROR(N(IF(ISNUMBER(Charges!L95),MAX(0,Charges!L95),IFERROR(VLOOKUP(Charges!L95,Paramètres!$A$15:$B$18,2,FALSE),0))),0)),0)</f>
        <v>0</v>
      </c>
      <c r="L95" t="n">
        <f>IF(8&lt;=Paramètres!$B$9,MAX(0,IFERROR(N(IF(ISNUMBER(Charges!M95),MAX(0,Charges!M95),IFERROR(VLOOKUP(Charges!M95,Paramètres!$A$15:$B$18,2,FALSE),0))),0)),0)</f>
        <v>0</v>
      </c>
      <c r="M95" t="n">
        <f>IF(9&lt;=Paramètres!$B$9,MAX(0,IFERROR(N(IF(ISNUMBER(Charges!N95),MAX(0,Charges!N95),IFERROR(VLOOKUP(Charges!N95,Paramètres!$A$15:$B$18,2,FALSE),0))),0)),0)</f>
        <v>0</v>
      </c>
      <c r="N95" t="n">
        <f>IF(10&lt;=Paramètres!$B$9,MAX(0,IFERROR(N(IF(ISNUMBER(Charges!O95),MAX(0,Charges!O95),IFERROR(VLOOKUP(Charges!O95,Paramètres!$A$15:$B$18,2,FALSE),0))),0)),0)</f>
        <v>0</v>
      </c>
      <c r="O95" t="n">
        <f>IF(11&lt;=Paramètres!$B$9,MAX(0,IFERROR(N(IF(ISNUMBER(Charges!P95),MAX(0,Charges!P95),IFERROR(VLOOKUP(Charges!P95,Paramètres!$A$15:$B$18,2,FALSE),0))),0)),0)</f>
        <v>0</v>
      </c>
      <c r="P95" t="n">
        <f>IF(12&lt;=Paramètres!$B$9,MAX(0,IFERROR(N(IF(ISNUMBER(Charges!Q95),MAX(0,Charges!Q95),IFERROR(VLOOKUP(Charges!Q95,Paramètres!$A$15:$B$18,2,FALSE),0))),0)),0)</f>
        <v>0</v>
      </c>
      <c r="Q95" t="n">
        <f>IF(13&lt;=Paramètres!$B$9,MAX(0,IFERROR(N(IF(ISNUMBER(Charges!R95),MAX(0,Charges!R95),IFERROR(VLOOKUP(Charges!R95,Paramètres!$A$15:$B$18,2,FALSE),0))),0)),0)</f>
        <v>0</v>
      </c>
      <c r="R95" t="n">
        <f>SUM(E95:Q95)</f>
        <v>0</v>
      </c>
      <c r="S95" t="n">
        <f>IF(IFERROR(VLOOKUP(A95,'Projets'!$A$8:$Z$67,7,FALSE),"")="Engager",1,0)</f>
        <v>0</v>
      </c>
      <c r="T95" t="n">
        <f>IF(OR(Charges!F95="",AND(ISNUMBER(Charges!F95),Charges!F95&gt;=0),Charges!F95="S",Charges!F95="M",Charges!F95="L",Charges!F95="XL"),0,1)+IF(OR(Charges!G95="",AND(ISNUMBER(Charges!G95),Charges!G95&gt;=0),Charges!G95="S",Charges!G95="M",Charges!G95="L",Charges!G95="XL"),0,1)+IF(OR(Charges!H95="",AND(ISNUMBER(Charges!H95),Charges!H95&gt;=0),Charges!H95="S",Charges!H95="M",Charges!H95="L",Charges!H95="XL"),0,1)+IF(OR(Charges!I95="",AND(ISNUMBER(Charges!I95),Charges!I95&gt;=0),Charges!I95="S",Charges!I95="M",Charges!I95="L",Charges!I95="XL"),0,1)+IF(OR(Charges!J95="",AND(ISNUMBER(Charges!J95),Charges!J95&gt;=0),Charges!J95="S",Charges!J95="M",Charges!J95="L",Charges!J95="XL"),0,1)+IF(OR(Charges!K95="",AND(ISNUMBER(Charges!K95),Charges!K95&gt;=0),Charges!K95="S",Charges!K95="M",Charges!K95="L",Charges!K95="XL"),0,1)+IF(OR(Charges!L95="",AND(ISNUMBER(Charges!L95),Charges!L95&gt;=0),Charges!L95="S",Charges!L95="M",Charges!L95="L",Charges!L95="XL"),0,1)+IF(OR(Charges!M95="",AND(ISNUMBER(Charges!M95),Charges!M95&gt;=0),Charges!M95="S",Charges!M95="M",Charges!M95="L",Charges!M95="XL"),0,1)+IF(OR(Charges!N95="",AND(ISNUMBER(Charges!N95),Charges!N95&gt;=0),Charges!N95="S",Charges!N95="M",Charges!N95="L",Charges!N95="XL"),0,1)+IF(OR(Charges!O95="",AND(ISNUMBER(Charges!O95),Charges!O95&gt;=0),Charges!O95="S",Charges!O95="M",Charges!O95="L",Charges!O95="XL"),0,1)+IF(OR(Charges!P95="",AND(ISNUMBER(Charges!P95),Charges!P95&gt;=0),Charges!P95="S",Charges!P95="M",Charges!P95="L",Charges!P95="XL"),0,1)+IF(OR(Charges!Q95="",AND(ISNUMBER(Charges!Q95),Charges!Q95&gt;=0),Charges!Q95="S",Charges!Q95="M",Charges!Q95="L",Charges!Q95="XL"),0,1)+IF(OR(Charges!R95="",AND(ISNUMBER(Charges!R95),Charges!R95&gt;=0),Charges!R95="S",Charges!R95="M",Charges!R95="L",Charges!R95="XL"),0,1)</f>
        <v>0</v>
      </c>
      <c r="U95" t="n">
        <f>IF(AND(1&gt;Paramètres!$B$9,Charges!F95&lt;&gt;"",Charges!F95&lt;&gt;0),1,0)+IF(AND(2&gt;Paramètres!$B$9,Charges!G95&lt;&gt;"",Charges!G95&lt;&gt;0),1,0)+IF(AND(3&gt;Paramètres!$B$9,Charges!H95&lt;&gt;"",Charges!H95&lt;&gt;0),1,0)+IF(AND(4&gt;Paramètres!$B$9,Charges!I95&lt;&gt;"",Charges!I95&lt;&gt;0),1,0)+IF(AND(5&gt;Paramètres!$B$9,Charges!J95&lt;&gt;"",Charges!J95&lt;&gt;0),1,0)+IF(AND(6&gt;Paramètres!$B$9,Charges!K95&lt;&gt;"",Charges!K95&lt;&gt;0),1,0)+IF(AND(7&gt;Paramètres!$B$9,Charges!L95&lt;&gt;"",Charges!L95&lt;&gt;0),1,0)+IF(AND(8&gt;Paramètres!$B$9,Charges!M95&lt;&gt;"",Charges!M95&lt;&gt;0),1,0)+IF(AND(9&gt;Paramètres!$B$9,Charges!N95&lt;&gt;"",Charges!N95&lt;&gt;0),1,0)+IF(AND(10&gt;Paramètres!$B$9,Charges!O95&lt;&gt;"",Charges!O95&lt;&gt;0),1,0)+IF(AND(11&gt;Paramètres!$B$9,Charges!P95&lt;&gt;"",Charges!P95&lt;&gt;0),1,0)+IF(AND(12&gt;Paramètres!$B$9,Charges!Q95&lt;&gt;"",Charges!Q95&lt;&gt;0),1,0)+IF(AND(13&gt;Paramètres!$B$9,Charges!R95&lt;&gt;"",Charges!R95&lt;&gt;0),1,0)</f>
        <v>0</v>
      </c>
      <c r="V95" t="n">
        <f>IF(IFERROR(VLOOKUP(A95,'Projets'!$A$8:$Z$67,5,FALSE),"")="Engager",1,0)</f>
        <v>0</v>
      </c>
      <c r="W95" t="n">
        <f>IF(IFERROR(VLOOKUP(A95,'Projets'!$A$8:$Z$67,6,FALSE),"")="Engager",1,0)</f>
        <v>0</v>
      </c>
      <c r="X95" t="n">
        <f>E95*S95</f>
        <v>0</v>
      </c>
      <c r="Y95" t="n">
        <f>F95*S95</f>
        <v>0</v>
      </c>
      <c r="Z95" t="n">
        <f>G95*S95</f>
        <v>0</v>
      </c>
      <c r="AA95" t="n">
        <f>H95*S95</f>
        <v>0</v>
      </c>
      <c r="AB95" t="n">
        <f>I95*S95</f>
        <v>0</v>
      </c>
      <c r="AC95" t="n">
        <f>J95*S95</f>
        <v>0</v>
      </c>
      <c r="AD95" t="n">
        <f>K95*S95</f>
        <v>0</v>
      </c>
      <c r="AE95" t="n">
        <f>L95*S95</f>
        <v>0</v>
      </c>
      <c r="AF95" t="n">
        <f>M95*S95</f>
        <v>0</v>
      </c>
      <c r="AG95" t="n">
        <f>N95*S95</f>
        <v>0</v>
      </c>
      <c r="AH95" t="n">
        <f>O95*S95</f>
        <v>0</v>
      </c>
      <c r="AI95" t="n">
        <f>P95*S95</f>
        <v>0</v>
      </c>
      <c r="AJ95" t="n">
        <f>Q95*S95</f>
        <v>0</v>
      </c>
      <c r="AK95" t="n">
        <f>E95*V95</f>
        <v>0</v>
      </c>
      <c r="AL95" t="n">
        <f>F95*V95</f>
        <v>0</v>
      </c>
      <c r="AM95" t="n">
        <f>G95*V95</f>
        <v>0</v>
      </c>
      <c r="AN95" t="n">
        <f>H95*V95</f>
        <v>0</v>
      </c>
      <c r="AO95" t="n">
        <f>I95*V95</f>
        <v>0</v>
      </c>
      <c r="AP95" t="n">
        <f>J95*V95</f>
        <v>0</v>
      </c>
      <c r="AQ95" t="n">
        <f>K95*V95</f>
        <v>0</v>
      </c>
      <c r="AR95" t="n">
        <f>L95*V95</f>
        <v>0</v>
      </c>
      <c r="AS95" t="n">
        <f>M95*V95</f>
        <v>0</v>
      </c>
      <c r="AT95" t="n">
        <f>N95*V95</f>
        <v>0</v>
      </c>
      <c r="AU95" t="n">
        <f>O95*V95</f>
        <v>0</v>
      </c>
      <c r="AV95" t="n">
        <f>P95*V95</f>
        <v>0</v>
      </c>
      <c r="AW95" t="n">
        <f>Q95*V95</f>
        <v>0</v>
      </c>
      <c r="AX95" t="n">
        <f>E95*W95</f>
        <v>0</v>
      </c>
      <c r="AY95" t="n">
        <f>F95*W95</f>
        <v>0</v>
      </c>
      <c r="AZ95" t="n">
        <f>G95*W95</f>
        <v>0</v>
      </c>
      <c r="BA95" t="n">
        <f>H95*W95</f>
        <v>0</v>
      </c>
      <c r="BB95" t="n">
        <f>I95*W95</f>
        <v>0</v>
      </c>
      <c r="BC95" t="n">
        <f>J95*W95</f>
        <v>0</v>
      </c>
      <c r="BD95" t="n">
        <f>K95*W95</f>
        <v>0</v>
      </c>
      <c r="BE95" t="n">
        <f>L95*W95</f>
        <v>0</v>
      </c>
      <c r="BF95" t="n">
        <f>M95*W95</f>
        <v>0</v>
      </c>
      <c r="BG95" t="n">
        <f>N95*W95</f>
        <v>0</v>
      </c>
      <c r="BH95" t="n">
        <f>O95*W95</f>
        <v>0</v>
      </c>
      <c r="BI95" t="n">
        <f>P95*W95</f>
        <v>0</v>
      </c>
      <c r="BJ95" t="n">
        <f>Q95*W95</f>
        <v>0</v>
      </c>
    </row>
    <row r="96">
      <c r="A96" t="n">
        <f>Charges!A96</f>
        <v>0</v>
      </c>
      <c r="B96" t="n">
        <f>Charges!C96</f>
        <v>0</v>
      </c>
      <c r="C96" t="str">
        <f>Charges!D96</f>
        <v/>
      </c>
      <c r="E96" t="n">
        <f>IF(1&lt;=Paramètres!$B$9,MAX(0,IFERROR(N(IF(ISNUMBER(Charges!F96),MAX(0,Charges!F96),IFERROR(VLOOKUP(Charges!F96,Paramètres!$A$15:$B$18,2,FALSE),0))),0)),0)</f>
        <v>0</v>
      </c>
      <c r="F96" t="n">
        <f>IF(2&lt;=Paramètres!$B$9,MAX(0,IFERROR(N(IF(ISNUMBER(Charges!G96),MAX(0,Charges!G96),IFERROR(VLOOKUP(Charges!G96,Paramètres!$A$15:$B$18,2,FALSE),0))),0)),0)</f>
        <v>0</v>
      </c>
      <c r="G96" t="n">
        <f>IF(3&lt;=Paramètres!$B$9,MAX(0,IFERROR(N(IF(ISNUMBER(Charges!H96),MAX(0,Charges!H96),IFERROR(VLOOKUP(Charges!H96,Paramètres!$A$15:$B$18,2,FALSE),0))),0)),0)</f>
        <v>0</v>
      </c>
      <c r="H96" t="n">
        <f>IF(4&lt;=Paramètres!$B$9,MAX(0,IFERROR(N(IF(ISNUMBER(Charges!I96),MAX(0,Charges!I96),IFERROR(VLOOKUP(Charges!I96,Paramètres!$A$15:$B$18,2,FALSE),0))),0)),0)</f>
        <v>0</v>
      </c>
      <c r="I96" t="n">
        <f>IF(5&lt;=Paramètres!$B$9,MAX(0,IFERROR(N(IF(ISNUMBER(Charges!J96),MAX(0,Charges!J96),IFERROR(VLOOKUP(Charges!J96,Paramètres!$A$15:$B$18,2,FALSE),0))),0)),0)</f>
        <v>0</v>
      </c>
      <c r="J96" t="n">
        <f>IF(6&lt;=Paramètres!$B$9,MAX(0,IFERROR(N(IF(ISNUMBER(Charges!K96),MAX(0,Charges!K96),IFERROR(VLOOKUP(Charges!K96,Paramètres!$A$15:$B$18,2,FALSE),0))),0)),0)</f>
        <v>0</v>
      </c>
      <c r="K96" t="n">
        <f>IF(7&lt;=Paramètres!$B$9,MAX(0,IFERROR(N(IF(ISNUMBER(Charges!L96),MAX(0,Charges!L96),IFERROR(VLOOKUP(Charges!L96,Paramètres!$A$15:$B$18,2,FALSE),0))),0)),0)</f>
        <v>0</v>
      </c>
      <c r="L96" t="n">
        <f>IF(8&lt;=Paramètres!$B$9,MAX(0,IFERROR(N(IF(ISNUMBER(Charges!M96),MAX(0,Charges!M96),IFERROR(VLOOKUP(Charges!M96,Paramètres!$A$15:$B$18,2,FALSE),0))),0)),0)</f>
        <v>0</v>
      </c>
      <c r="M96" t="n">
        <f>IF(9&lt;=Paramètres!$B$9,MAX(0,IFERROR(N(IF(ISNUMBER(Charges!N96),MAX(0,Charges!N96),IFERROR(VLOOKUP(Charges!N96,Paramètres!$A$15:$B$18,2,FALSE),0))),0)),0)</f>
        <v>0</v>
      </c>
      <c r="N96" t="n">
        <f>IF(10&lt;=Paramètres!$B$9,MAX(0,IFERROR(N(IF(ISNUMBER(Charges!O96),MAX(0,Charges!O96),IFERROR(VLOOKUP(Charges!O96,Paramètres!$A$15:$B$18,2,FALSE),0))),0)),0)</f>
        <v>0</v>
      </c>
      <c r="O96" t="n">
        <f>IF(11&lt;=Paramètres!$B$9,MAX(0,IFERROR(N(IF(ISNUMBER(Charges!P96),MAX(0,Charges!P96),IFERROR(VLOOKUP(Charges!P96,Paramètres!$A$15:$B$18,2,FALSE),0))),0)),0)</f>
        <v>0</v>
      </c>
      <c r="P96" t="n">
        <f>IF(12&lt;=Paramètres!$B$9,MAX(0,IFERROR(N(IF(ISNUMBER(Charges!Q96),MAX(0,Charges!Q96),IFERROR(VLOOKUP(Charges!Q96,Paramètres!$A$15:$B$18,2,FALSE),0))),0)),0)</f>
        <v>0</v>
      </c>
      <c r="Q96" t="n">
        <f>IF(13&lt;=Paramètres!$B$9,MAX(0,IFERROR(N(IF(ISNUMBER(Charges!R96),MAX(0,Charges!R96),IFERROR(VLOOKUP(Charges!R96,Paramètres!$A$15:$B$18,2,FALSE),0))),0)),0)</f>
        <v>0</v>
      </c>
      <c r="R96" t="n">
        <f>SUM(E96:Q96)</f>
        <v>0</v>
      </c>
      <c r="S96" t="n">
        <f>IF(IFERROR(VLOOKUP(A96,'Projets'!$A$8:$Z$67,7,FALSE),"")="Engager",1,0)</f>
        <v>0</v>
      </c>
      <c r="T96" t="n">
        <f>IF(OR(Charges!F96="",AND(ISNUMBER(Charges!F96),Charges!F96&gt;=0),Charges!F96="S",Charges!F96="M",Charges!F96="L",Charges!F96="XL"),0,1)+IF(OR(Charges!G96="",AND(ISNUMBER(Charges!G96),Charges!G96&gt;=0),Charges!G96="S",Charges!G96="M",Charges!G96="L",Charges!G96="XL"),0,1)+IF(OR(Charges!H96="",AND(ISNUMBER(Charges!H96),Charges!H96&gt;=0),Charges!H96="S",Charges!H96="M",Charges!H96="L",Charges!H96="XL"),0,1)+IF(OR(Charges!I96="",AND(ISNUMBER(Charges!I96),Charges!I96&gt;=0),Charges!I96="S",Charges!I96="M",Charges!I96="L",Charges!I96="XL"),0,1)+IF(OR(Charges!J96="",AND(ISNUMBER(Charges!J96),Charges!J96&gt;=0),Charges!J96="S",Charges!J96="M",Charges!J96="L",Charges!J96="XL"),0,1)+IF(OR(Charges!K96="",AND(ISNUMBER(Charges!K96),Charges!K96&gt;=0),Charges!K96="S",Charges!K96="M",Charges!K96="L",Charges!K96="XL"),0,1)+IF(OR(Charges!L96="",AND(ISNUMBER(Charges!L96),Charges!L96&gt;=0),Charges!L96="S",Charges!L96="M",Charges!L96="L",Charges!L96="XL"),0,1)+IF(OR(Charges!M96="",AND(ISNUMBER(Charges!M96),Charges!M96&gt;=0),Charges!M96="S",Charges!M96="M",Charges!M96="L",Charges!M96="XL"),0,1)+IF(OR(Charges!N96="",AND(ISNUMBER(Charges!N96),Charges!N96&gt;=0),Charges!N96="S",Charges!N96="M",Charges!N96="L",Charges!N96="XL"),0,1)+IF(OR(Charges!O96="",AND(ISNUMBER(Charges!O96),Charges!O96&gt;=0),Charges!O96="S",Charges!O96="M",Charges!O96="L",Charges!O96="XL"),0,1)+IF(OR(Charges!P96="",AND(ISNUMBER(Charges!P96),Charges!P96&gt;=0),Charges!P96="S",Charges!P96="M",Charges!P96="L",Charges!P96="XL"),0,1)+IF(OR(Charges!Q96="",AND(ISNUMBER(Charges!Q96),Charges!Q96&gt;=0),Charges!Q96="S",Charges!Q96="M",Charges!Q96="L",Charges!Q96="XL"),0,1)+IF(OR(Charges!R96="",AND(ISNUMBER(Charges!R96),Charges!R96&gt;=0),Charges!R96="S",Charges!R96="M",Charges!R96="L",Charges!R96="XL"),0,1)</f>
        <v>0</v>
      </c>
      <c r="U96" t="n">
        <f>IF(AND(1&gt;Paramètres!$B$9,Charges!F96&lt;&gt;"",Charges!F96&lt;&gt;0),1,0)+IF(AND(2&gt;Paramètres!$B$9,Charges!G96&lt;&gt;"",Charges!G96&lt;&gt;0),1,0)+IF(AND(3&gt;Paramètres!$B$9,Charges!H96&lt;&gt;"",Charges!H96&lt;&gt;0),1,0)+IF(AND(4&gt;Paramètres!$B$9,Charges!I96&lt;&gt;"",Charges!I96&lt;&gt;0),1,0)+IF(AND(5&gt;Paramètres!$B$9,Charges!J96&lt;&gt;"",Charges!J96&lt;&gt;0),1,0)+IF(AND(6&gt;Paramètres!$B$9,Charges!K96&lt;&gt;"",Charges!K96&lt;&gt;0),1,0)+IF(AND(7&gt;Paramètres!$B$9,Charges!L96&lt;&gt;"",Charges!L96&lt;&gt;0),1,0)+IF(AND(8&gt;Paramètres!$B$9,Charges!M96&lt;&gt;"",Charges!M96&lt;&gt;0),1,0)+IF(AND(9&gt;Paramètres!$B$9,Charges!N96&lt;&gt;"",Charges!N96&lt;&gt;0),1,0)+IF(AND(10&gt;Paramètres!$B$9,Charges!O96&lt;&gt;"",Charges!O96&lt;&gt;0),1,0)+IF(AND(11&gt;Paramètres!$B$9,Charges!P96&lt;&gt;"",Charges!P96&lt;&gt;0),1,0)+IF(AND(12&gt;Paramètres!$B$9,Charges!Q96&lt;&gt;"",Charges!Q96&lt;&gt;0),1,0)+IF(AND(13&gt;Paramètres!$B$9,Charges!R96&lt;&gt;"",Charges!R96&lt;&gt;0),1,0)</f>
        <v>0</v>
      </c>
      <c r="V96" t="n">
        <f>IF(IFERROR(VLOOKUP(A96,'Projets'!$A$8:$Z$67,5,FALSE),"")="Engager",1,0)</f>
        <v>0</v>
      </c>
      <c r="W96" t="n">
        <f>IF(IFERROR(VLOOKUP(A96,'Projets'!$A$8:$Z$67,6,FALSE),"")="Engager",1,0)</f>
        <v>0</v>
      </c>
      <c r="X96" t="n">
        <f>E96*S96</f>
        <v>0</v>
      </c>
      <c r="Y96" t="n">
        <f>F96*S96</f>
        <v>0</v>
      </c>
      <c r="Z96" t="n">
        <f>G96*S96</f>
        <v>0</v>
      </c>
      <c r="AA96" t="n">
        <f>H96*S96</f>
        <v>0</v>
      </c>
      <c r="AB96" t="n">
        <f>I96*S96</f>
        <v>0</v>
      </c>
      <c r="AC96" t="n">
        <f>J96*S96</f>
        <v>0</v>
      </c>
      <c r="AD96" t="n">
        <f>K96*S96</f>
        <v>0</v>
      </c>
      <c r="AE96" t="n">
        <f>L96*S96</f>
        <v>0</v>
      </c>
      <c r="AF96" t="n">
        <f>M96*S96</f>
        <v>0</v>
      </c>
      <c r="AG96" t="n">
        <f>N96*S96</f>
        <v>0</v>
      </c>
      <c r="AH96" t="n">
        <f>O96*S96</f>
        <v>0</v>
      </c>
      <c r="AI96" t="n">
        <f>P96*S96</f>
        <v>0</v>
      </c>
      <c r="AJ96" t="n">
        <f>Q96*S96</f>
        <v>0</v>
      </c>
      <c r="AK96" t="n">
        <f>E96*V96</f>
        <v>0</v>
      </c>
      <c r="AL96" t="n">
        <f>F96*V96</f>
        <v>0</v>
      </c>
      <c r="AM96" t="n">
        <f>G96*V96</f>
        <v>0</v>
      </c>
      <c r="AN96" t="n">
        <f>H96*V96</f>
        <v>0</v>
      </c>
      <c r="AO96" t="n">
        <f>I96*V96</f>
        <v>0</v>
      </c>
      <c r="AP96" t="n">
        <f>J96*V96</f>
        <v>0</v>
      </c>
      <c r="AQ96" t="n">
        <f>K96*V96</f>
        <v>0</v>
      </c>
      <c r="AR96" t="n">
        <f>L96*V96</f>
        <v>0</v>
      </c>
      <c r="AS96" t="n">
        <f>M96*V96</f>
        <v>0</v>
      </c>
      <c r="AT96" t="n">
        <f>N96*V96</f>
        <v>0</v>
      </c>
      <c r="AU96" t="n">
        <f>O96*V96</f>
        <v>0</v>
      </c>
      <c r="AV96" t="n">
        <f>P96*V96</f>
        <v>0</v>
      </c>
      <c r="AW96" t="n">
        <f>Q96*V96</f>
        <v>0</v>
      </c>
      <c r="AX96" t="n">
        <f>E96*W96</f>
        <v>0</v>
      </c>
      <c r="AY96" t="n">
        <f>F96*W96</f>
        <v>0</v>
      </c>
      <c r="AZ96" t="n">
        <f>G96*W96</f>
        <v>0</v>
      </c>
      <c r="BA96" t="n">
        <f>H96*W96</f>
        <v>0</v>
      </c>
      <c r="BB96" t="n">
        <f>I96*W96</f>
        <v>0</v>
      </c>
      <c r="BC96" t="n">
        <f>J96*W96</f>
        <v>0</v>
      </c>
      <c r="BD96" t="n">
        <f>K96*W96</f>
        <v>0</v>
      </c>
      <c r="BE96" t="n">
        <f>L96*W96</f>
        <v>0</v>
      </c>
      <c r="BF96" t="n">
        <f>M96*W96</f>
        <v>0</v>
      </c>
      <c r="BG96" t="n">
        <f>N96*W96</f>
        <v>0</v>
      </c>
      <c r="BH96" t="n">
        <f>O96*W96</f>
        <v>0</v>
      </c>
      <c r="BI96" t="n">
        <f>P96*W96</f>
        <v>0</v>
      </c>
      <c r="BJ96" t="n">
        <f>Q96*W96</f>
        <v>0</v>
      </c>
    </row>
    <row r="97">
      <c r="A97" t="n">
        <f>Charges!A97</f>
        <v>0</v>
      </c>
      <c r="B97" t="n">
        <f>Charges!C97</f>
        <v>0</v>
      </c>
      <c r="C97" t="str">
        <f>Charges!D97</f>
        <v/>
      </c>
      <c r="E97" t="n">
        <f>IF(1&lt;=Paramètres!$B$9,MAX(0,IFERROR(N(IF(ISNUMBER(Charges!F97),MAX(0,Charges!F97),IFERROR(VLOOKUP(Charges!F97,Paramètres!$A$15:$B$18,2,FALSE),0))),0)),0)</f>
        <v>0</v>
      </c>
      <c r="F97" t="n">
        <f>IF(2&lt;=Paramètres!$B$9,MAX(0,IFERROR(N(IF(ISNUMBER(Charges!G97),MAX(0,Charges!G97),IFERROR(VLOOKUP(Charges!G97,Paramètres!$A$15:$B$18,2,FALSE),0))),0)),0)</f>
        <v>0</v>
      </c>
      <c r="G97" t="n">
        <f>IF(3&lt;=Paramètres!$B$9,MAX(0,IFERROR(N(IF(ISNUMBER(Charges!H97),MAX(0,Charges!H97),IFERROR(VLOOKUP(Charges!H97,Paramètres!$A$15:$B$18,2,FALSE),0))),0)),0)</f>
        <v>0</v>
      </c>
      <c r="H97" t="n">
        <f>IF(4&lt;=Paramètres!$B$9,MAX(0,IFERROR(N(IF(ISNUMBER(Charges!I97),MAX(0,Charges!I97),IFERROR(VLOOKUP(Charges!I97,Paramètres!$A$15:$B$18,2,FALSE),0))),0)),0)</f>
        <v>0</v>
      </c>
      <c r="I97" t="n">
        <f>IF(5&lt;=Paramètres!$B$9,MAX(0,IFERROR(N(IF(ISNUMBER(Charges!J97),MAX(0,Charges!J97),IFERROR(VLOOKUP(Charges!J97,Paramètres!$A$15:$B$18,2,FALSE),0))),0)),0)</f>
        <v>0</v>
      </c>
      <c r="J97" t="n">
        <f>IF(6&lt;=Paramètres!$B$9,MAX(0,IFERROR(N(IF(ISNUMBER(Charges!K97),MAX(0,Charges!K97),IFERROR(VLOOKUP(Charges!K97,Paramètres!$A$15:$B$18,2,FALSE),0))),0)),0)</f>
        <v>0</v>
      </c>
      <c r="K97" t="n">
        <f>IF(7&lt;=Paramètres!$B$9,MAX(0,IFERROR(N(IF(ISNUMBER(Charges!L97),MAX(0,Charges!L97),IFERROR(VLOOKUP(Charges!L97,Paramètres!$A$15:$B$18,2,FALSE),0))),0)),0)</f>
        <v>0</v>
      </c>
      <c r="L97" t="n">
        <f>IF(8&lt;=Paramètres!$B$9,MAX(0,IFERROR(N(IF(ISNUMBER(Charges!M97),MAX(0,Charges!M97),IFERROR(VLOOKUP(Charges!M97,Paramètres!$A$15:$B$18,2,FALSE),0))),0)),0)</f>
        <v>0</v>
      </c>
      <c r="M97" t="n">
        <f>IF(9&lt;=Paramètres!$B$9,MAX(0,IFERROR(N(IF(ISNUMBER(Charges!N97),MAX(0,Charges!N97),IFERROR(VLOOKUP(Charges!N97,Paramètres!$A$15:$B$18,2,FALSE),0))),0)),0)</f>
        <v>0</v>
      </c>
      <c r="N97" t="n">
        <f>IF(10&lt;=Paramètres!$B$9,MAX(0,IFERROR(N(IF(ISNUMBER(Charges!O97),MAX(0,Charges!O97),IFERROR(VLOOKUP(Charges!O97,Paramètres!$A$15:$B$18,2,FALSE),0))),0)),0)</f>
        <v>0</v>
      </c>
      <c r="O97" t="n">
        <f>IF(11&lt;=Paramètres!$B$9,MAX(0,IFERROR(N(IF(ISNUMBER(Charges!P97),MAX(0,Charges!P97),IFERROR(VLOOKUP(Charges!P97,Paramètres!$A$15:$B$18,2,FALSE),0))),0)),0)</f>
        <v>0</v>
      </c>
      <c r="P97" t="n">
        <f>IF(12&lt;=Paramètres!$B$9,MAX(0,IFERROR(N(IF(ISNUMBER(Charges!Q97),MAX(0,Charges!Q97),IFERROR(VLOOKUP(Charges!Q97,Paramètres!$A$15:$B$18,2,FALSE),0))),0)),0)</f>
        <v>0</v>
      </c>
      <c r="Q97" t="n">
        <f>IF(13&lt;=Paramètres!$B$9,MAX(0,IFERROR(N(IF(ISNUMBER(Charges!R97),MAX(0,Charges!R97),IFERROR(VLOOKUP(Charges!R97,Paramètres!$A$15:$B$18,2,FALSE),0))),0)),0)</f>
        <v>0</v>
      </c>
      <c r="R97" t="n">
        <f>SUM(E97:Q97)</f>
        <v>0</v>
      </c>
      <c r="S97" t="n">
        <f>IF(IFERROR(VLOOKUP(A97,'Projets'!$A$8:$Z$67,7,FALSE),"")="Engager",1,0)</f>
        <v>0</v>
      </c>
      <c r="T97" t="n">
        <f>IF(OR(Charges!F97="",AND(ISNUMBER(Charges!F97),Charges!F97&gt;=0),Charges!F97="S",Charges!F97="M",Charges!F97="L",Charges!F97="XL"),0,1)+IF(OR(Charges!G97="",AND(ISNUMBER(Charges!G97),Charges!G97&gt;=0),Charges!G97="S",Charges!G97="M",Charges!G97="L",Charges!G97="XL"),0,1)+IF(OR(Charges!H97="",AND(ISNUMBER(Charges!H97),Charges!H97&gt;=0),Charges!H97="S",Charges!H97="M",Charges!H97="L",Charges!H97="XL"),0,1)+IF(OR(Charges!I97="",AND(ISNUMBER(Charges!I97),Charges!I97&gt;=0),Charges!I97="S",Charges!I97="M",Charges!I97="L",Charges!I97="XL"),0,1)+IF(OR(Charges!J97="",AND(ISNUMBER(Charges!J97),Charges!J97&gt;=0),Charges!J97="S",Charges!J97="M",Charges!J97="L",Charges!J97="XL"),0,1)+IF(OR(Charges!K97="",AND(ISNUMBER(Charges!K97),Charges!K97&gt;=0),Charges!K97="S",Charges!K97="M",Charges!K97="L",Charges!K97="XL"),0,1)+IF(OR(Charges!L97="",AND(ISNUMBER(Charges!L97),Charges!L97&gt;=0),Charges!L97="S",Charges!L97="M",Charges!L97="L",Charges!L97="XL"),0,1)+IF(OR(Charges!M97="",AND(ISNUMBER(Charges!M97),Charges!M97&gt;=0),Charges!M97="S",Charges!M97="M",Charges!M97="L",Charges!M97="XL"),0,1)+IF(OR(Charges!N97="",AND(ISNUMBER(Charges!N97),Charges!N97&gt;=0),Charges!N97="S",Charges!N97="M",Charges!N97="L",Charges!N97="XL"),0,1)+IF(OR(Charges!O97="",AND(ISNUMBER(Charges!O97),Charges!O97&gt;=0),Charges!O97="S",Charges!O97="M",Charges!O97="L",Charges!O97="XL"),0,1)+IF(OR(Charges!P97="",AND(ISNUMBER(Charges!P97),Charges!P97&gt;=0),Charges!P97="S",Charges!P97="M",Charges!P97="L",Charges!P97="XL"),0,1)+IF(OR(Charges!Q97="",AND(ISNUMBER(Charges!Q97),Charges!Q97&gt;=0),Charges!Q97="S",Charges!Q97="M",Charges!Q97="L",Charges!Q97="XL"),0,1)+IF(OR(Charges!R97="",AND(ISNUMBER(Charges!R97),Charges!R97&gt;=0),Charges!R97="S",Charges!R97="M",Charges!R97="L",Charges!R97="XL"),0,1)</f>
        <v>0</v>
      </c>
      <c r="U97" t="n">
        <f>IF(AND(1&gt;Paramètres!$B$9,Charges!F97&lt;&gt;"",Charges!F97&lt;&gt;0),1,0)+IF(AND(2&gt;Paramètres!$B$9,Charges!G97&lt;&gt;"",Charges!G97&lt;&gt;0),1,0)+IF(AND(3&gt;Paramètres!$B$9,Charges!H97&lt;&gt;"",Charges!H97&lt;&gt;0),1,0)+IF(AND(4&gt;Paramètres!$B$9,Charges!I97&lt;&gt;"",Charges!I97&lt;&gt;0),1,0)+IF(AND(5&gt;Paramètres!$B$9,Charges!J97&lt;&gt;"",Charges!J97&lt;&gt;0),1,0)+IF(AND(6&gt;Paramètres!$B$9,Charges!K97&lt;&gt;"",Charges!K97&lt;&gt;0),1,0)+IF(AND(7&gt;Paramètres!$B$9,Charges!L97&lt;&gt;"",Charges!L97&lt;&gt;0),1,0)+IF(AND(8&gt;Paramètres!$B$9,Charges!M97&lt;&gt;"",Charges!M97&lt;&gt;0),1,0)+IF(AND(9&gt;Paramètres!$B$9,Charges!N97&lt;&gt;"",Charges!N97&lt;&gt;0),1,0)+IF(AND(10&gt;Paramètres!$B$9,Charges!O97&lt;&gt;"",Charges!O97&lt;&gt;0),1,0)+IF(AND(11&gt;Paramètres!$B$9,Charges!P97&lt;&gt;"",Charges!P97&lt;&gt;0),1,0)+IF(AND(12&gt;Paramètres!$B$9,Charges!Q97&lt;&gt;"",Charges!Q97&lt;&gt;0),1,0)+IF(AND(13&gt;Paramètres!$B$9,Charges!R97&lt;&gt;"",Charges!R97&lt;&gt;0),1,0)</f>
        <v>0</v>
      </c>
      <c r="V97" t="n">
        <f>IF(IFERROR(VLOOKUP(A97,'Projets'!$A$8:$Z$67,5,FALSE),"")="Engager",1,0)</f>
        <v>0</v>
      </c>
      <c r="W97" t="n">
        <f>IF(IFERROR(VLOOKUP(A97,'Projets'!$A$8:$Z$67,6,FALSE),"")="Engager",1,0)</f>
        <v>0</v>
      </c>
      <c r="X97" t="n">
        <f>E97*S97</f>
        <v>0</v>
      </c>
      <c r="Y97" t="n">
        <f>F97*S97</f>
        <v>0</v>
      </c>
      <c r="Z97" t="n">
        <f>G97*S97</f>
        <v>0</v>
      </c>
      <c r="AA97" t="n">
        <f>H97*S97</f>
        <v>0</v>
      </c>
      <c r="AB97" t="n">
        <f>I97*S97</f>
        <v>0</v>
      </c>
      <c r="AC97" t="n">
        <f>J97*S97</f>
        <v>0</v>
      </c>
      <c r="AD97" t="n">
        <f>K97*S97</f>
        <v>0</v>
      </c>
      <c r="AE97" t="n">
        <f>L97*S97</f>
        <v>0</v>
      </c>
      <c r="AF97" t="n">
        <f>M97*S97</f>
        <v>0</v>
      </c>
      <c r="AG97" t="n">
        <f>N97*S97</f>
        <v>0</v>
      </c>
      <c r="AH97" t="n">
        <f>O97*S97</f>
        <v>0</v>
      </c>
      <c r="AI97" t="n">
        <f>P97*S97</f>
        <v>0</v>
      </c>
      <c r="AJ97" t="n">
        <f>Q97*S97</f>
        <v>0</v>
      </c>
      <c r="AK97" t="n">
        <f>E97*V97</f>
        <v>0</v>
      </c>
      <c r="AL97" t="n">
        <f>F97*V97</f>
        <v>0</v>
      </c>
      <c r="AM97" t="n">
        <f>G97*V97</f>
        <v>0</v>
      </c>
      <c r="AN97" t="n">
        <f>H97*V97</f>
        <v>0</v>
      </c>
      <c r="AO97" t="n">
        <f>I97*V97</f>
        <v>0</v>
      </c>
      <c r="AP97" t="n">
        <f>J97*V97</f>
        <v>0</v>
      </c>
      <c r="AQ97" t="n">
        <f>K97*V97</f>
        <v>0</v>
      </c>
      <c r="AR97" t="n">
        <f>L97*V97</f>
        <v>0</v>
      </c>
      <c r="AS97" t="n">
        <f>M97*V97</f>
        <v>0</v>
      </c>
      <c r="AT97" t="n">
        <f>N97*V97</f>
        <v>0</v>
      </c>
      <c r="AU97" t="n">
        <f>O97*V97</f>
        <v>0</v>
      </c>
      <c r="AV97" t="n">
        <f>P97*V97</f>
        <v>0</v>
      </c>
      <c r="AW97" t="n">
        <f>Q97*V97</f>
        <v>0</v>
      </c>
      <c r="AX97" t="n">
        <f>E97*W97</f>
        <v>0</v>
      </c>
      <c r="AY97" t="n">
        <f>F97*W97</f>
        <v>0</v>
      </c>
      <c r="AZ97" t="n">
        <f>G97*W97</f>
        <v>0</v>
      </c>
      <c r="BA97" t="n">
        <f>H97*W97</f>
        <v>0</v>
      </c>
      <c r="BB97" t="n">
        <f>I97*W97</f>
        <v>0</v>
      </c>
      <c r="BC97" t="n">
        <f>J97*W97</f>
        <v>0</v>
      </c>
      <c r="BD97" t="n">
        <f>K97*W97</f>
        <v>0</v>
      </c>
      <c r="BE97" t="n">
        <f>L97*W97</f>
        <v>0</v>
      </c>
      <c r="BF97" t="n">
        <f>M97*W97</f>
        <v>0</v>
      </c>
      <c r="BG97" t="n">
        <f>N97*W97</f>
        <v>0</v>
      </c>
      <c r="BH97" t="n">
        <f>O97*W97</f>
        <v>0</v>
      </c>
      <c r="BI97" t="n">
        <f>P97*W97</f>
        <v>0</v>
      </c>
      <c r="BJ97" t="n">
        <f>Q97*W97</f>
        <v>0</v>
      </c>
    </row>
    <row r="98">
      <c r="A98" t="n">
        <f>Charges!A98</f>
        <v>0</v>
      </c>
      <c r="B98" t="n">
        <f>Charges!C98</f>
        <v>0</v>
      </c>
      <c r="C98" t="str">
        <f>Charges!D98</f>
        <v/>
      </c>
      <c r="E98" t="n">
        <f>IF(1&lt;=Paramètres!$B$9,MAX(0,IFERROR(N(IF(ISNUMBER(Charges!F98),MAX(0,Charges!F98),IFERROR(VLOOKUP(Charges!F98,Paramètres!$A$15:$B$18,2,FALSE),0))),0)),0)</f>
        <v>0</v>
      </c>
      <c r="F98" t="n">
        <f>IF(2&lt;=Paramètres!$B$9,MAX(0,IFERROR(N(IF(ISNUMBER(Charges!G98),MAX(0,Charges!G98),IFERROR(VLOOKUP(Charges!G98,Paramètres!$A$15:$B$18,2,FALSE),0))),0)),0)</f>
        <v>0</v>
      </c>
      <c r="G98" t="n">
        <f>IF(3&lt;=Paramètres!$B$9,MAX(0,IFERROR(N(IF(ISNUMBER(Charges!H98),MAX(0,Charges!H98),IFERROR(VLOOKUP(Charges!H98,Paramètres!$A$15:$B$18,2,FALSE),0))),0)),0)</f>
        <v>0</v>
      </c>
      <c r="H98" t="n">
        <f>IF(4&lt;=Paramètres!$B$9,MAX(0,IFERROR(N(IF(ISNUMBER(Charges!I98),MAX(0,Charges!I98),IFERROR(VLOOKUP(Charges!I98,Paramètres!$A$15:$B$18,2,FALSE),0))),0)),0)</f>
        <v>0</v>
      </c>
      <c r="I98" t="n">
        <f>IF(5&lt;=Paramètres!$B$9,MAX(0,IFERROR(N(IF(ISNUMBER(Charges!J98),MAX(0,Charges!J98),IFERROR(VLOOKUP(Charges!J98,Paramètres!$A$15:$B$18,2,FALSE),0))),0)),0)</f>
        <v>0</v>
      </c>
      <c r="J98" t="n">
        <f>IF(6&lt;=Paramètres!$B$9,MAX(0,IFERROR(N(IF(ISNUMBER(Charges!K98),MAX(0,Charges!K98),IFERROR(VLOOKUP(Charges!K98,Paramètres!$A$15:$B$18,2,FALSE),0))),0)),0)</f>
        <v>0</v>
      </c>
      <c r="K98" t="n">
        <f>IF(7&lt;=Paramètres!$B$9,MAX(0,IFERROR(N(IF(ISNUMBER(Charges!L98),MAX(0,Charges!L98),IFERROR(VLOOKUP(Charges!L98,Paramètres!$A$15:$B$18,2,FALSE),0))),0)),0)</f>
        <v>0</v>
      </c>
      <c r="L98" t="n">
        <f>IF(8&lt;=Paramètres!$B$9,MAX(0,IFERROR(N(IF(ISNUMBER(Charges!M98),MAX(0,Charges!M98),IFERROR(VLOOKUP(Charges!M98,Paramètres!$A$15:$B$18,2,FALSE),0))),0)),0)</f>
        <v>0</v>
      </c>
      <c r="M98" t="n">
        <f>IF(9&lt;=Paramètres!$B$9,MAX(0,IFERROR(N(IF(ISNUMBER(Charges!N98),MAX(0,Charges!N98),IFERROR(VLOOKUP(Charges!N98,Paramètres!$A$15:$B$18,2,FALSE),0))),0)),0)</f>
        <v>0</v>
      </c>
      <c r="N98" t="n">
        <f>IF(10&lt;=Paramètres!$B$9,MAX(0,IFERROR(N(IF(ISNUMBER(Charges!O98),MAX(0,Charges!O98),IFERROR(VLOOKUP(Charges!O98,Paramètres!$A$15:$B$18,2,FALSE),0))),0)),0)</f>
        <v>0</v>
      </c>
      <c r="O98" t="n">
        <f>IF(11&lt;=Paramètres!$B$9,MAX(0,IFERROR(N(IF(ISNUMBER(Charges!P98),MAX(0,Charges!P98),IFERROR(VLOOKUP(Charges!P98,Paramètres!$A$15:$B$18,2,FALSE),0))),0)),0)</f>
        <v>0</v>
      </c>
      <c r="P98" t="n">
        <f>IF(12&lt;=Paramètres!$B$9,MAX(0,IFERROR(N(IF(ISNUMBER(Charges!Q98),MAX(0,Charges!Q98),IFERROR(VLOOKUP(Charges!Q98,Paramètres!$A$15:$B$18,2,FALSE),0))),0)),0)</f>
        <v>0</v>
      </c>
      <c r="Q98" t="n">
        <f>IF(13&lt;=Paramètres!$B$9,MAX(0,IFERROR(N(IF(ISNUMBER(Charges!R98),MAX(0,Charges!R98),IFERROR(VLOOKUP(Charges!R98,Paramètres!$A$15:$B$18,2,FALSE),0))),0)),0)</f>
        <v>0</v>
      </c>
      <c r="R98" t="n">
        <f>SUM(E98:Q98)</f>
        <v>0</v>
      </c>
      <c r="S98" t="n">
        <f>IF(IFERROR(VLOOKUP(A98,'Projets'!$A$8:$Z$67,7,FALSE),"")="Engager",1,0)</f>
        <v>0</v>
      </c>
      <c r="T98" t="n">
        <f>IF(OR(Charges!F98="",AND(ISNUMBER(Charges!F98),Charges!F98&gt;=0),Charges!F98="S",Charges!F98="M",Charges!F98="L",Charges!F98="XL"),0,1)+IF(OR(Charges!G98="",AND(ISNUMBER(Charges!G98),Charges!G98&gt;=0),Charges!G98="S",Charges!G98="M",Charges!G98="L",Charges!G98="XL"),0,1)+IF(OR(Charges!H98="",AND(ISNUMBER(Charges!H98),Charges!H98&gt;=0),Charges!H98="S",Charges!H98="M",Charges!H98="L",Charges!H98="XL"),0,1)+IF(OR(Charges!I98="",AND(ISNUMBER(Charges!I98),Charges!I98&gt;=0),Charges!I98="S",Charges!I98="M",Charges!I98="L",Charges!I98="XL"),0,1)+IF(OR(Charges!J98="",AND(ISNUMBER(Charges!J98),Charges!J98&gt;=0),Charges!J98="S",Charges!J98="M",Charges!J98="L",Charges!J98="XL"),0,1)+IF(OR(Charges!K98="",AND(ISNUMBER(Charges!K98),Charges!K98&gt;=0),Charges!K98="S",Charges!K98="M",Charges!K98="L",Charges!K98="XL"),0,1)+IF(OR(Charges!L98="",AND(ISNUMBER(Charges!L98),Charges!L98&gt;=0),Charges!L98="S",Charges!L98="M",Charges!L98="L",Charges!L98="XL"),0,1)+IF(OR(Charges!M98="",AND(ISNUMBER(Charges!M98),Charges!M98&gt;=0),Charges!M98="S",Charges!M98="M",Charges!M98="L",Charges!M98="XL"),0,1)+IF(OR(Charges!N98="",AND(ISNUMBER(Charges!N98),Charges!N98&gt;=0),Charges!N98="S",Charges!N98="M",Charges!N98="L",Charges!N98="XL"),0,1)+IF(OR(Charges!O98="",AND(ISNUMBER(Charges!O98),Charges!O98&gt;=0),Charges!O98="S",Charges!O98="M",Charges!O98="L",Charges!O98="XL"),0,1)+IF(OR(Charges!P98="",AND(ISNUMBER(Charges!P98),Charges!P98&gt;=0),Charges!P98="S",Charges!P98="M",Charges!P98="L",Charges!P98="XL"),0,1)+IF(OR(Charges!Q98="",AND(ISNUMBER(Charges!Q98),Charges!Q98&gt;=0),Charges!Q98="S",Charges!Q98="M",Charges!Q98="L",Charges!Q98="XL"),0,1)+IF(OR(Charges!R98="",AND(ISNUMBER(Charges!R98),Charges!R98&gt;=0),Charges!R98="S",Charges!R98="M",Charges!R98="L",Charges!R98="XL"),0,1)</f>
        <v>0</v>
      </c>
      <c r="U98" t="n">
        <f>IF(AND(1&gt;Paramètres!$B$9,Charges!F98&lt;&gt;"",Charges!F98&lt;&gt;0),1,0)+IF(AND(2&gt;Paramètres!$B$9,Charges!G98&lt;&gt;"",Charges!G98&lt;&gt;0),1,0)+IF(AND(3&gt;Paramètres!$B$9,Charges!H98&lt;&gt;"",Charges!H98&lt;&gt;0),1,0)+IF(AND(4&gt;Paramètres!$B$9,Charges!I98&lt;&gt;"",Charges!I98&lt;&gt;0),1,0)+IF(AND(5&gt;Paramètres!$B$9,Charges!J98&lt;&gt;"",Charges!J98&lt;&gt;0),1,0)+IF(AND(6&gt;Paramètres!$B$9,Charges!K98&lt;&gt;"",Charges!K98&lt;&gt;0),1,0)+IF(AND(7&gt;Paramètres!$B$9,Charges!L98&lt;&gt;"",Charges!L98&lt;&gt;0),1,0)+IF(AND(8&gt;Paramètres!$B$9,Charges!M98&lt;&gt;"",Charges!M98&lt;&gt;0),1,0)+IF(AND(9&gt;Paramètres!$B$9,Charges!N98&lt;&gt;"",Charges!N98&lt;&gt;0),1,0)+IF(AND(10&gt;Paramètres!$B$9,Charges!O98&lt;&gt;"",Charges!O98&lt;&gt;0),1,0)+IF(AND(11&gt;Paramètres!$B$9,Charges!P98&lt;&gt;"",Charges!P98&lt;&gt;0),1,0)+IF(AND(12&gt;Paramètres!$B$9,Charges!Q98&lt;&gt;"",Charges!Q98&lt;&gt;0),1,0)+IF(AND(13&gt;Paramètres!$B$9,Charges!R98&lt;&gt;"",Charges!R98&lt;&gt;0),1,0)</f>
        <v>0</v>
      </c>
      <c r="V98" t="n">
        <f>IF(IFERROR(VLOOKUP(A98,'Projets'!$A$8:$Z$67,5,FALSE),"")="Engager",1,0)</f>
        <v>0</v>
      </c>
      <c r="W98" t="n">
        <f>IF(IFERROR(VLOOKUP(A98,'Projets'!$A$8:$Z$67,6,FALSE),"")="Engager",1,0)</f>
        <v>0</v>
      </c>
      <c r="X98" t="n">
        <f>E98*S98</f>
        <v>0</v>
      </c>
      <c r="Y98" t="n">
        <f>F98*S98</f>
        <v>0</v>
      </c>
      <c r="Z98" t="n">
        <f>G98*S98</f>
        <v>0</v>
      </c>
      <c r="AA98" t="n">
        <f>H98*S98</f>
        <v>0</v>
      </c>
      <c r="AB98" t="n">
        <f>I98*S98</f>
        <v>0</v>
      </c>
      <c r="AC98" t="n">
        <f>J98*S98</f>
        <v>0</v>
      </c>
      <c r="AD98" t="n">
        <f>K98*S98</f>
        <v>0</v>
      </c>
      <c r="AE98" t="n">
        <f>L98*S98</f>
        <v>0</v>
      </c>
      <c r="AF98" t="n">
        <f>M98*S98</f>
        <v>0</v>
      </c>
      <c r="AG98" t="n">
        <f>N98*S98</f>
        <v>0</v>
      </c>
      <c r="AH98" t="n">
        <f>O98*S98</f>
        <v>0</v>
      </c>
      <c r="AI98" t="n">
        <f>P98*S98</f>
        <v>0</v>
      </c>
      <c r="AJ98" t="n">
        <f>Q98*S98</f>
        <v>0</v>
      </c>
      <c r="AK98" t="n">
        <f>E98*V98</f>
        <v>0</v>
      </c>
      <c r="AL98" t="n">
        <f>F98*V98</f>
        <v>0</v>
      </c>
      <c r="AM98" t="n">
        <f>G98*V98</f>
        <v>0</v>
      </c>
      <c r="AN98" t="n">
        <f>H98*V98</f>
        <v>0</v>
      </c>
      <c r="AO98" t="n">
        <f>I98*V98</f>
        <v>0</v>
      </c>
      <c r="AP98" t="n">
        <f>J98*V98</f>
        <v>0</v>
      </c>
      <c r="AQ98" t="n">
        <f>K98*V98</f>
        <v>0</v>
      </c>
      <c r="AR98" t="n">
        <f>L98*V98</f>
        <v>0</v>
      </c>
      <c r="AS98" t="n">
        <f>M98*V98</f>
        <v>0</v>
      </c>
      <c r="AT98" t="n">
        <f>N98*V98</f>
        <v>0</v>
      </c>
      <c r="AU98" t="n">
        <f>O98*V98</f>
        <v>0</v>
      </c>
      <c r="AV98" t="n">
        <f>P98*V98</f>
        <v>0</v>
      </c>
      <c r="AW98" t="n">
        <f>Q98*V98</f>
        <v>0</v>
      </c>
      <c r="AX98" t="n">
        <f>E98*W98</f>
        <v>0</v>
      </c>
      <c r="AY98" t="n">
        <f>F98*W98</f>
        <v>0</v>
      </c>
      <c r="AZ98" t="n">
        <f>G98*W98</f>
        <v>0</v>
      </c>
      <c r="BA98" t="n">
        <f>H98*W98</f>
        <v>0</v>
      </c>
      <c r="BB98" t="n">
        <f>I98*W98</f>
        <v>0</v>
      </c>
      <c r="BC98" t="n">
        <f>J98*W98</f>
        <v>0</v>
      </c>
      <c r="BD98" t="n">
        <f>K98*W98</f>
        <v>0</v>
      </c>
      <c r="BE98" t="n">
        <f>L98*W98</f>
        <v>0</v>
      </c>
      <c r="BF98" t="n">
        <f>M98*W98</f>
        <v>0</v>
      </c>
      <c r="BG98" t="n">
        <f>N98*W98</f>
        <v>0</v>
      </c>
      <c r="BH98" t="n">
        <f>O98*W98</f>
        <v>0</v>
      </c>
      <c r="BI98" t="n">
        <f>P98*W98</f>
        <v>0</v>
      </c>
      <c r="BJ98" t="n">
        <f>Q98*W98</f>
        <v>0</v>
      </c>
    </row>
    <row r="99">
      <c r="A99" t="n">
        <f>Charges!A99</f>
        <v>0</v>
      </c>
      <c r="B99" t="n">
        <f>Charges!C99</f>
        <v>0</v>
      </c>
      <c r="C99" t="str">
        <f>Charges!D99</f>
        <v/>
      </c>
      <c r="E99" t="n">
        <f>IF(1&lt;=Paramètres!$B$9,MAX(0,IFERROR(N(IF(ISNUMBER(Charges!F99),MAX(0,Charges!F99),IFERROR(VLOOKUP(Charges!F99,Paramètres!$A$15:$B$18,2,FALSE),0))),0)),0)</f>
        <v>0</v>
      </c>
      <c r="F99" t="n">
        <f>IF(2&lt;=Paramètres!$B$9,MAX(0,IFERROR(N(IF(ISNUMBER(Charges!G99),MAX(0,Charges!G99),IFERROR(VLOOKUP(Charges!G99,Paramètres!$A$15:$B$18,2,FALSE),0))),0)),0)</f>
        <v>0</v>
      </c>
      <c r="G99" t="n">
        <f>IF(3&lt;=Paramètres!$B$9,MAX(0,IFERROR(N(IF(ISNUMBER(Charges!H99),MAX(0,Charges!H99),IFERROR(VLOOKUP(Charges!H99,Paramètres!$A$15:$B$18,2,FALSE),0))),0)),0)</f>
        <v>0</v>
      </c>
      <c r="H99" t="n">
        <f>IF(4&lt;=Paramètres!$B$9,MAX(0,IFERROR(N(IF(ISNUMBER(Charges!I99),MAX(0,Charges!I99),IFERROR(VLOOKUP(Charges!I99,Paramètres!$A$15:$B$18,2,FALSE),0))),0)),0)</f>
        <v>0</v>
      </c>
      <c r="I99" t="n">
        <f>IF(5&lt;=Paramètres!$B$9,MAX(0,IFERROR(N(IF(ISNUMBER(Charges!J99),MAX(0,Charges!J99),IFERROR(VLOOKUP(Charges!J99,Paramètres!$A$15:$B$18,2,FALSE),0))),0)),0)</f>
        <v>0</v>
      </c>
      <c r="J99" t="n">
        <f>IF(6&lt;=Paramètres!$B$9,MAX(0,IFERROR(N(IF(ISNUMBER(Charges!K99),MAX(0,Charges!K99),IFERROR(VLOOKUP(Charges!K99,Paramètres!$A$15:$B$18,2,FALSE),0))),0)),0)</f>
        <v>0</v>
      </c>
      <c r="K99" t="n">
        <f>IF(7&lt;=Paramètres!$B$9,MAX(0,IFERROR(N(IF(ISNUMBER(Charges!L99),MAX(0,Charges!L99),IFERROR(VLOOKUP(Charges!L99,Paramètres!$A$15:$B$18,2,FALSE),0))),0)),0)</f>
        <v>0</v>
      </c>
      <c r="L99" t="n">
        <f>IF(8&lt;=Paramètres!$B$9,MAX(0,IFERROR(N(IF(ISNUMBER(Charges!M99),MAX(0,Charges!M99),IFERROR(VLOOKUP(Charges!M99,Paramètres!$A$15:$B$18,2,FALSE),0))),0)),0)</f>
        <v>0</v>
      </c>
      <c r="M99" t="n">
        <f>IF(9&lt;=Paramètres!$B$9,MAX(0,IFERROR(N(IF(ISNUMBER(Charges!N99),MAX(0,Charges!N99),IFERROR(VLOOKUP(Charges!N99,Paramètres!$A$15:$B$18,2,FALSE),0))),0)),0)</f>
        <v>0</v>
      </c>
      <c r="N99" t="n">
        <f>IF(10&lt;=Paramètres!$B$9,MAX(0,IFERROR(N(IF(ISNUMBER(Charges!O99),MAX(0,Charges!O99),IFERROR(VLOOKUP(Charges!O99,Paramètres!$A$15:$B$18,2,FALSE),0))),0)),0)</f>
        <v>0</v>
      </c>
      <c r="O99" t="n">
        <f>IF(11&lt;=Paramètres!$B$9,MAX(0,IFERROR(N(IF(ISNUMBER(Charges!P99),MAX(0,Charges!P99),IFERROR(VLOOKUP(Charges!P99,Paramètres!$A$15:$B$18,2,FALSE),0))),0)),0)</f>
        <v>0</v>
      </c>
      <c r="P99" t="n">
        <f>IF(12&lt;=Paramètres!$B$9,MAX(0,IFERROR(N(IF(ISNUMBER(Charges!Q99),MAX(0,Charges!Q99),IFERROR(VLOOKUP(Charges!Q99,Paramètres!$A$15:$B$18,2,FALSE),0))),0)),0)</f>
        <v>0</v>
      </c>
      <c r="Q99" t="n">
        <f>IF(13&lt;=Paramètres!$B$9,MAX(0,IFERROR(N(IF(ISNUMBER(Charges!R99),MAX(0,Charges!R99),IFERROR(VLOOKUP(Charges!R99,Paramètres!$A$15:$B$18,2,FALSE),0))),0)),0)</f>
        <v>0</v>
      </c>
      <c r="R99" t="n">
        <f>SUM(E99:Q99)</f>
        <v>0</v>
      </c>
      <c r="S99" t="n">
        <f>IF(IFERROR(VLOOKUP(A99,'Projets'!$A$8:$Z$67,7,FALSE),"")="Engager",1,0)</f>
        <v>0</v>
      </c>
      <c r="T99" t="n">
        <f>IF(OR(Charges!F99="",AND(ISNUMBER(Charges!F99),Charges!F99&gt;=0),Charges!F99="S",Charges!F99="M",Charges!F99="L",Charges!F99="XL"),0,1)+IF(OR(Charges!G99="",AND(ISNUMBER(Charges!G99),Charges!G99&gt;=0),Charges!G99="S",Charges!G99="M",Charges!G99="L",Charges!G99="XL"),0,1)+IF(OR(Charges!H99="",AND(ISNUMBER(Charges!H99),Charges!H99&gt;=0),Charges!H99="S",Charges!H99="M",Charges!H99="L",Charges!H99="XL"),0,1)+IF(OR(Charges!I99="",AND(ISNUMBER(Charges!I99),Charges!I99&gt;=0),Charges!I99="S",Charges!I99="M",Charges!I99="L",Charges!I99="XL"),0,1)+IF(OR(Charges!J99="",AND(ISNUMBER(Charges!J99),Charges!J99&gt;=0),Charges!J99="S",Charges!J99="M",Charges!J99="L",Charges!J99="XL"),0,1)+IF(OR(Charges!K99="",AND(ISNUMBER(Charges!K99),Charges!K99&gt;=0),Charges!K99="S",Charges!K99="M",Charges!K99="L",Charges!K99="XL"),0,1)+IF(OR(Charges!L99="",AND(ISNUMBER(Charges!L99),Charges!L99&gt;=0),Charges!L99="S",Charges!L99="M",Charges!L99="L",Charges!L99="XL"),0,1)+IF(OR(Charges!M99="",AND(ISNUMBER(Charges!M99),Charges!M99&gt;=0),Charges!M99="S",Charges!M99="M",Charges!M99="L",Charges!M99="XL"),0,1)+IF(OR(Charges!N99="",AND(ISNUMBER(Charges!N99),Charges!N99&gt;=0),Charges!N99="S",Charges!N99="M",Charges!N99="L",Charges!N99="XL"),0,1)+IF(OR(Charges!O99="",AND(ISNUMBER(Charges!O99),Charges!O99&gt;=0),Charges!O99="S",Charges!O99="M",Charges!O99="L",Charges!O99="XL"),0,1)+IF(OR(Charges!P99="",AND(ISNUMBER(Charges!P99),Charges!P99&gt;=0),Charges!P99="S",Charges!P99="M",Charges!P99="L",Charges!P99="XL"),0,1)+IF(OR(Charges!Q99="",AND(ISNUMBER(Charges!Q99),Charges!Q99&gt;=0),Charges!Q99="S",Charges!Q99="M",Charges!Q99="L",Charges!Q99="XL"),0,1)+IF(OR(Charges!R99="",AND(ISNUMBER(Charges!R99),Charges!R99&gt;=0),Charges!R99="S",Charges!R99="M",Charges!R99="L",Charges!R99="XL"),0,1)</f>
        <v>0</v>
      </c>
      <c r="U99" t="n">
        <f>IF(AND(1&gt;Paramètres!$B$9,Charges!F99&lt;&gt;"",Charges!F99&lt;&gt;0),1,0)+IF(AND(2&gt;Paramètres!$B$9,Charges!G99&lt;&gt;"",Charges!G99&lt;&gt;0),1,0)+IF(AND(3&gt;Paramètres!$B$9,Charges!H99&lt;&gt;"",Charges!H99&lt;&gt;0),1,0)+IF(AND(4&gt;Paramètres!$B$9,Charges!I99&lt;&gt;"",Charges!I99&lt;&gt;0),1,0)+IF(AND(5&gt;Paramètres!$B$9,Charges!J99&lt;&gt;"",Charges!J99&lt;&gt;0),1,0)+IF(AND(6&gt;Paramètres!$B$9,Charges!K99&lt;&gt;"",Charges!K99&lt;&gt;0),1,0)+IF(AND(7&gt;Paramètres!$B$9,Charges!L99&lt;&gt;"",Charges!L99&lt;&gt;0),1,0)+IF(AND(8&gt;Paramètres!$B$9,Charges!M99&lt;&gt;"",Charges!M99&lt;&gt;0),1,0)+IF(AND(9&gt;Paramètres!$B$9,Charges!N99&lt;&gt;"",Charges!N99&lt;&gt;0),1,0)+IF(AND(10&gt;Paramètres!$B$9,Charges!O99&lt;&gt;"",Charges!O99&lt;&gt;0),1,0)+IF(AND(11&gt;Paramètres!$B$9,Charges!P99&lt;&gt;"",Charges!P99&lt;&gt;0),1,0)+IF(AND(12&gt;Paramètres!$B$9,Charges!Q99&lt;&gt;"",Charges!Q99&lt;&gt;0),1,0)+IF(AND(13&gt;Paramètres!$B$9,Charges!R99&lt;&gt;"",Charges!R99&lt;&gt;0),1,0)</f>
        <v>0</v>
      </c>
      <c r="V99" t="n">
        <f>IF(IFERROR(VLOOKUP(A99,'Projets'!$A$8:$Z$67,5,FALSE),"")="Engager",1,0)</f>
        <v>0</v>
      </c>
      <c r="W99" t="n">
        <f>IF(IFERROR(VLOOKUP(A99,'Projets'!$A$8:$Z$67,6,FALSE),"")="Engager",1,0)</f>
        <v>0</v>
      </c>
      <c r="X99" t="n">
        <f>E99*S99</f>
        <v>0</v>
      </c>
      <c r="Y99" t="n">
        <f>F99*S99</f>
        <v>0</v>
      </c>
      <c r="Z99" t="n">
        <f>G99*S99</f>
        <v>0</v>
      </c>
      <c r="AA99" t="n">
        <f>H99*S99</f>
        <v>0</v>
      </c>
      <c r="AB99" t="n">
        <f>I99*S99</f>
        <v>0</v>
      </c>
      <c r="AC99" t="n">
        <f>J99*S99</f>
        <v>0</v>
      </c>
      <c r="AD99" t="n">
        <f>K99*S99</f>
        <v>0</v>
      </c>
      <c r="AE99" t="n">
        <f>L99*S99</f>
        <v>0</v>
      </c>
      <c r="AF99" t="n">
        <f>M99*S99</f>
        <v>0</v>
      </c>
      <c r="AG99" t="n">
        <f>N99*S99</f>
        <v>0</v>
      </c>
      <c r="AH99" t="n">
        <f>O99*S99</f>
        <v>0</v>
      </c>
      <c r="AI99" t="n">
        <f>P99*S99</f>
        <v>0</v>
      </c>
      <c r="AJ99" t="n">
        <f>Q99*S99</f>
        <v>0</v>
      </c>
      <c r="AK99" t="n">
        <f>E99*V99</f>
        <v>0</v>
      </c>
      <c r="AL99" t="n">
        <f>F99*V99</f>
        <v>0</v>
      </c>
      <c r="AM99" t="n">
        <f>G99*V99</f>
        <v>0</v>
      </c>
      <c r="AN99" t="n">
        <f>H99*V99</f>
        <v>0</v>
      </c>
      <c r="AO99" t="n">
        <f>I99*V99</f>
        <v>0</v>
      </c>
      <c r="AP99" t="n">
        <f>J99*V99</f>
        <v>0</v>
      </c>
      <c r="AQ99" t="n">
        <f>K99*V99</f>
        <v>0</v>
      </c>
      <c r="AR99" t="n">
        <f>L99*V99</f>
        <v>0</v>
      </c>
      <c r="AS99" t="n">
        <f>M99*V99</f>
        <v>0</v>
      </c>
      <c r="AT99" t="n">
        <f>N99*V99</f>
        <v>0</v>
      </c>
      <c r="AU99" t="n">
        <f>O99*V99</f>
        <v>0</v>
      </c>
      <c r="AV99" t="n">
        <f>P99*V99</f>
        <v>0</v>
      </c>
      <c r="AW99" t="n">
        <f>Q99*V99</f>
        <v>0</v>
      </c>
      <c r="AX99" t="n">
        <f>E99*W99</f>
        <v>0</v>
      </c>
      <c r="AY99" t="n">
        <f>F99*W99</f>
        <v>0</v>
      </c>
      <c r="AZ99" t="n">
        <f>G99*W99</f>
        <v>0</v>
      </c>
      <c r="BA99" t="n">
        <f>H99*W99</f>
        <v>0</v>
      </c>
      <c r="BB99" t="n">
        <f>I99*W99</f>
        <v>0</v>
      </c>
      <c r="BC99" t="n">
        <f>J99*W99</f>
        <v>0</v>
      </c>
      <c r="BD99" t="n">
        <f>K99*W99</f>
        <v>0</v>
      </c>
      <c r="BE99" t="n">
        <f>L99*W99</f>
        <v>0</v>
      </c>
      <c r="BF99" t="n">
        <f>M99*W99</f>
        <v>0</v>
      </c>
      <c r="BG99" t="n">
        <f>N99*W99</f>
        <v>0</v>
      </c>
      <c r="BH99" t="n">
        <f>O99*W99</f>
        <v>0</v>
      </c>
      <c r="BI99" t="n">
        <f>P99*W99</f>
        <v>0</v>
      </c>
      <c r="BJ99" t="n">
        <f>Q99*W99</f>
        <v>0</v>
      </c>
    </row>
    <row r="100">
      <c r="A100" t="n">
        <f>Charges!A100</f>
        <v>0</v>
      </c>
      <c r="B100" t="n">
        <f>Charges!C100</f>
        <v>0</v>
      </c>
      <c r="C100" t="str">
        <f>Charges!D100</f>
        <v/>
      </c>
      <c r="E100" t="n">
        <f>IF(1&lt;=Paramètres!$B$9,MAX(0,IFERROR(N(IF(ISNUMBER(Charges!F100),MAX(0,Charges!F100),IFERROR(VLOOKUP(Charges!F100,Paramètres!$A$15:$B$18,2,FALSE),0))),0)),0)</f>
        <v>0</v>
      </c>
      <c r="F100" t="n">
        <f>IF(2&lt;=Paramètres!$B$9,MAX(0,IFERROR(N(IF(ISNUMBER(Charges!G100),MAX(0,Charges!G100),IFERROR(VLOOKUP(Charges!G100,Paramètres!$A$15:$B$18,2,FALSE),0))),0)),0)</f>
        <v>0</v>
      </c>
      <c r="G100" t="n">
        <f>IF(3&lt;=Paramètres!$B$9,MAX(0,IFERROR(N(IF(ISNUMBER(Charges!H100),MAX(0,Charges!H100),IFERROR(VLOOKUP(Charges!H100,Paramètres!$A$15:$B$18,2,FALSE),0))),0)),0)</f>
        <v>0</v>
      </c>
      <c r="H100" t="n">
        <f>IF(4&lt;=Paramètres!$B$9,MAX(0,IFERROR(N(IF(ISNUMBER(Charges!I100),MAX(0,Charges!I100),IFERROR(VLOOKUP(Charges!I100,Paramètres!$A$15:$B$18,2,FALSE),0))),0)),0)</f>
        <v>0</v>
      </c>
      <c r="I100" t="n">
        <f>IF(5&lt;=Paramètres!$B$9,MAX(0,IFERROR(N(IF(ISNUMBER(Charges!J100),MAX(0,Charges!J100),IFERROR(VLOOKUP(Charges!J100,Paramètres!$A$15:$B$18,2,FALSE),0))),0)),0)</f>
        <v>0</v>
      </c>
      <c r="J100" t="n">
        <f>IF(6&lt;=Paramètres!$B$9,MAX(0,IFERROR(N(IF(ISNUMBER(Charges!K100),MAX(0,Charges!K100),IFERROR(VLOOKUP(Charges!K100,Paramètres!$A$15:$B$18,2,FALSE),0))),0)),0)</f>
        <v>0</v>
      </c>
      <c r="K100" t="n">
        <f>IF(7&lt;=Paramètres!$B$9,MAX(0,IFERROR(N(IF(ISNUMBER(Charges!L100),MAX(0,Charges!L100),IFERROR(VLOOKUP(Charges!L100,Paramètres!$A$15:$B$18,2,FALSE),0))),0)),0)</f>
        <v>0</v>
      </c>
      <c r="L100" t="n">
        <f>IF(8&lt;=Paramètres!$B$9,MAX(0,IFERROR(N(IF(ISNUMBER(Charges!M100),MAX(0,Charges!M100),IFERROR(VLOOKUP(Charges!M100,Paramètres!$A$15:$B$18,2,FALSE),0))),0)),0)</f>
        <v>0</v>
      </c>
      <c r="M100" t="n">
        <f>IF(9&lt;=Paramètres!$B$9,MAX(0,IFERROR(N(IF(ISNUMBER(Charges!N100),MAX(0,Charges!N100),IFERROR(VLOOKUP(Charges!N100,Paramètres!$A$15:$B$18,2,FALSE),0))),0)),0)</f>
        <v>0</v>
      </c>
      <c r="N100" t="n">
        <f>IF(10&lt;=Paramètres!$B$9,MAX(0,IFERROR(N(IF(ISNUMBER(Charges!O100),MAX(0,Charges!O100),IFERROR(VLOOKUP(Charges!O100,Paramètres!$A$15:$B$18,2,FALSE),0))),0)),0)</f>
        <v>0</v>
      </c>
      <c r="O100" t="n">
        <f>IF(11&lt;=Paramètres!$B$9,MAX(0,IFERROR(N(IF(ISNUMBER(Charges!P100),MAX(0,Charges!P100),IFERROR(VLOOKUP(Charges!P100,Paramètres!$A$15:$B$18,2,FALSE),0))),0)),0)</f>
        <v>0</v>
      </c>
      <c r="P100" t="n">
        <f>IF(12&lt;=Paramètres!$B$9,MAX(0,IFERROR(N(IF(ISNUMBER(Charges!Q100),MAX(0,Charges!Q100),IFERROR(VLOOKUP(Charges!Q100,Paramètres!$A$15:$B$18,2,FALSE),0))),0)),0)</f>
        <v>0</v>
      </c>
      <c r="Q100" t="n">
        <f>IF(13&lt;=Paramètres!$B$9,MAX(0,IFERROR(N(IF(ISNUMBER(Charges!R100),MAX(0,Charges!R100),IFERROR(VLOOKUP(Charges!R100,Paramètres!$A$15:$B$18,2,FALSE),0))),0)),0)</f>
        <v>0</v>
      </c>
      <c r="R100" t="n">
        <f>SUM(E100:Q100)</f>
        <v>0</v>
      </c>
      <c r="S100" t="n">
        <f>IF(IFERROR(VLOOKUP(A100,'Projets'!$A$8:$Z$67,7,FALSE),"")="Engager",1,0)</f>
        <v>0</v>
      </c>
      <c r="T100" t="n">
        <f>IF(OR(Charges!F100="",AND(ISNUMBER(Charges!F100),Charges!F100&gt;=0),Charges!F100="S",Charges!F100="M",Charges!F100="L",Charges!F100="XL"),0,1)+IF(OR(Charges!G100="",AND(ISNUMBER(Charges!G100),Charges!G100&gt;=0),Charges!G100="S",Charges!G100="M",Charges!G100="L",Charges!G100="XL"),0,1)+IF(OR(Charges!H100="",AND(ISNUMBER(Charges!H100),Charges!H100&gt;=0),Charges!H100="S",Charges!H100="M",Charges!H100="L",Charges!H100="XL"),0,1)+IF(OR(Charges!I100="",AND(ISNUMBER(Charges!I100),Charges!I100&gt;=0),Charges!I100="S",Charges!I100="M",Charges!I100="L",Charges!I100="XL"),0,1)+IF(OR(Charges!J100="",AND(ISNUMBER(Charges!J100),Charges!J100&gt;=0),Charges!J100="S",Charges!J100="M",Charges!J100="L",Charges!J100="XL"),0,1)+IF(OR(Charges!K100="",AND(ISNUMBER(Charges!K100),Charges!K100&gt;=0),Charges!K100="S",Charges!K100="M",Charges!K100="L",Charges!K100="XL"),0,1)+IF(OR(Charges!L100="",AND(ISNUMBER(Charges!L100),Charges!L100&gt;=0),Charges!L100="S",Charges!L100="M",Charges!L100="L",Charges!L100="XL"),0,1)+IF(OR(Charges!M100="",AND(ISNUMBER(Charges!M100),Charges!M100&gt;=0),Charges!M100="S",Charges!M100="M",Charges!M100="L",Charges!M100="XL"),0,1)+IF(OR(Charges!N100="",AND(ISNUMBER(Charges!N100),Charges!N100&gt;=0),Charges!N100="S",Charges!N100="M",Charges!N100="L",Charges!N100="XL"),0,1)+IF(OR(Charges!O100="",AND(ISNUMBER(Charges!O100),Charges!O100&gt;=0),Charges!O100="S",Charges!O100="M",Charges!O100="L",Charges!O100="XL"),0,1)+IF(OR(Charges!P100="",AND(ISNUMBER(Charges!P100),Charges!P100&gt;=0),Charges!P100="S",Charges!P100="M",Charges!P100="L",Charges!P100="XL"),0,1)+IF(OR(Charges!Q100="",AND(ISNUMBER(Charges!Q100),Charges!Q100&gt;=0),Charges!Q100="S",Charges!Q100="M",Charges!Q100="L",Charges!Q100="XL"),0,1)+IF(OR(Charges!R100="",AND(ISNUMBER(Charges!R100),Charges!R100&gt;=0),Charges!R100="S",Charges!R100="M",Charges!R100="L",Charges!R100="XL"),0,1)</f>
        <v>0</v>
      </c>
      <c r="U100" t="n">
        <f>IF(AND(1&gt;Paramètres!$B$9,Charges!F100&lt;&gt;"",Charges!F100&lt;&gt;0),1,0)+IF(AND(2&gt;Paramètres!$B$9,Charges!G100&lt;&gt;"",Charges!G100&lt;&gt;0),1,0)+IF(AND(3&gt;Paramètres!$B$9,Charges!H100&lt;&gt;"",Charges!H100&lt;&gt;0),1,0)+IF(AND(4&gt;Paramètres!$B$9,Charges!I100&lt;&gt;"",Charges!I100&lt;&gt;0),1,0)+IF(AND(5&gt;Paramètres!$B$9,Charges!J100&lt;&gt;"",Charges!J100&lt;&gt;0),1,0)+IF(AND(6&gt;Paramètres!$B$9,Charges!K100&lt;&gt;"",Charges!K100&lt;&gt;0),1,0)+IF(AND(7&gt;Paramètres!$B$9,Charges!L100&lt;&gt;"",Charges!L100&lt;&gt;0),1,0)+IF(AND(8&gt;Paramètres!$B$9,Charges!M100&lt;&gt;"",Charges!M100&lt;&gt;0),1,0)+IF(AND(9&gt;Paramètres!$B$9,Charges!N100&lt;&gt;"",Charges!N100&lt;&gt;0),1,0)+IF(AND(10&gt;Paramètres!$B$9,Charges!O100&lt;&gt;"",Charges!O100&lt;&gt;0),1,0)+IF(AND(11&gt;Paramètres!$B$9,Charges!P100&lt;&gt;"",Charges!P100&lt;&gt;0),1,0)+IF(AND(12&gt;Paramètres!$B$9,Charges!Q100&lt;&gt;"",Charges!Q100&lt;&gt;0),1,0)+IF(AND(13&gt;Paramètres!$B$9,Charges!R100&lt;&gt;"",Charges!R100&lt;&gt;0),1,0)</f>
        <v>0</v>
      </c>
      <c r="V100" t="n">
        <f>IF(IFERROR(VLOOKUP(A100,'Projets'!$A$8:$Z$67,5,FALSE),"")="Engager",1,0)</f>
        <v>0</v>
      </c>
      <c r="W100" t="n">
        <f>IF(IFERROR(VLOOKUP(A100,'Projets'!$A$8:$Z$67,6,FALSE),"")="Engager",1,0)</f>
        <v>0</v>
      </c>
      <c r="X100" t="n">
        <f>E100*S100</f>
        <v>0</v>
      </c>
      <c r="Y100" t="n">
        <f>F100*S100</f>
        <v>0</v>
      </c>
      <c r="Z100" t="n">
        <f>G100*S100</f>
        <v>0</v>
      </c>
      <c r="AA100" t="n">
        <f>H100*S100</f>
        <v>0</v>
      </c>
      <c r="AB100" t="n">
        <f>I100*S100</f>
        <v>0</v>
      </c>
      <c r="AC100" t="n">
        <f>J100*S100</f>
        <v>0</v>
      </c>
      <c r="AD100" t="n">
        <f>K100*S100</f>
        <v>0</v>
      </c>
      <c r="AE100" t="n">
        <f>L100*S100</f>
        <v>0</v>
      </c>
      <c r="AF100" t="n">
        <f>M100*S100</f>
        <v>0</v>
      </c>
      <c r="AG100" t="n">
        <f>N100*S100</f>
        <v>0</v>
      </c>
      <c r="AH100" t="n">
        <f>O100*S100</f>
        <v>0</v>
      </c>
      <c r="AI100" t="n">
        <f>P100*S100</f>
        <v>0</v>
      </c>
      <c r="AJ100" t="n">
        <f>Q100*S100</f>
        <v>0</v>
      </c>
      <c r="AK100" t="n">
        <f>E100*V100</f>
        <v>0</v>
      </c>
      <c r="AL100" t="n">
        <f>F100*V100</f>
        <v>0</v>
      </c>
      <c r="AM100" t="n">
        <f>G100*V100</f>
        <v>0</v>
      </c>
      <c r="AN100" t="n">
        <f>H100*V100</f>
        <v>0</v>
      </c>
      <c r="AO100" t="n">
        <f>I100*V100</f>
        <v>0</v>
      </c>
      <c r="AP100" t="n">
        <f>J100*V100</f>
        <v>0</v>
      </c>
      <c r="AQ100" t="n">
        <f>K100*V100</f>
        <v>0</v>
      </c>
      <c r="AR100" t="n">
        <f>L100*V100</f>
        <v>0</v>
      </c>
      <c r="AS100" t="n">
        <f>M100*V100</f>
        <v>0</v>
      </c>
      <c r="AT100" t="n">
        <f>N100*V100</f>
        <v>0</v>
      </c>
      <c r="AU100" t="n">
        <f>O100*V100</f>
        <v>0</v>
      </c>
      <c r="AV100" t="n">
        <f>P100*V100</f>
        <v>0</v>
      </c>
      <c r="AW100" t="n">
        <f>Q100*V100</f>
        <v>0</v>
      </c>
      <c r="AX100" t="n">
        <f>E100*W100</f>
        <v>0</v>
      </c>
      <c r="AY100" t="n">
        <f>F100*W100</f>
        <v>0</v>
      </c>
      <c r="AZ100" t="n">
        <f>G100*W100</f>
        <v>0</v>
      </c>
      <c r="BA100" t="n">
        <f>H100*W100</f>
        <v>0</v>
      </c>
      <c r="BB100" t="n">
        <f>I100*W100</f>
        <v>0</v>
      </c>
      <c r="BC100" t="n">
        <f>J100*W100</f>
        <v>0</v>
      </c>
      <c r="BD100" t="n">
        <f>K100*W100</f>
        <v>0</v>
      </c>
      <c r="BE100" t="n">
        <f>L100*W100</f>
        <v>0</v>
      </c>
      <c r="BF100" t="n">
        <f>M100*W100</f>
        <v>0</v>
      </c>
      <c r="BG100" t="n">
        <f>N100*W100</f>
        <v>0</v>
      </c>
      <c r="BH100" t="n">
        <f>O100*W100</f>
        <v>0</v>
      </c>
      <c r="BI100" t="n">
        <f>P100*W100</f>
        <v>0</v>
      </c>
      <c r="BJ100" t="n">
        <f>Q100*W100</f>
        <v>0</v>
      </c>
    </row>
    <row r="101">
      <c r="A101" t="n">
        <f>Charges!A101</f>
        <v>0</v>
      </c>
      <c r="B101" t="n">
        <f>Charges!C101</f>
        <v>0</v>
      </c>
      <c r="C101" t="str">
        <f>Charges!D101</f>
        <v/>
      </c>
      <c r="E101" t="n">
        <f>IF(1&lt;=Paramètres!$B$9,MAX(0,IFERROR(N(IF(ISNUMBER(Charges!F101),MAX(0,Charges!F101),IFERROR(VLOOKUP(Charges!F101,Paramètres!$A$15:$B$18,2,FALSE),0))),0)),0)</f>
        <v>0</v>
      </c>
      <c r="F101" t="n">
        <f>IF(2&lt;=Paramètres!$B$9,MAX(0,IFERROR(N(IF(ISNUMBER(Charges!G101),MAX(0,Charges!G101),IFERROR(VLOOKUP(Charges!G101,Paramètres!$A$15:$B$18,2,FALSE),0))),0)),0)</f>
        <v>0</v>
      </c>
      <c r="G101" t="n">
        <f>IF(3&lt;=Paramètres!$B$9,MAX(0,IFERROR(N(IF(ISNUMBER(Charges!H101),MAX(0,Charges!H101),IFERROR(VLOOKUP(Charges!H101,Paramètres!$A$15:$B$18,2,FALSE),0))),0)),0)</f>
        <v>0</v>
      </c>
      <c r="H101" t="n">
        <f>IF(4&lt;=Paramètres!$B$9,MAX(0,IFERROR(N(IF(ISNUMBER(Charges!I101),MAX(0,Charges!I101),IFERROR(VLOOKUP(Charges!I101,Paramètres!$A$15:$B$18,2,FALSE),0))),0)),0)</f>
        <v>0</v>
      </c>
      <c r="I101" t="n">
        <f>IF(5&lt;=Paramètres!$B$9,MAX(0,IFERROR(N(IF(ISNUMBER(Charges!J101),MAX(0,Charges!J101),IFERROR(VLOOKUP(Charges!J101,Paramètres!$A$15:$B$18,2,FALSE),0))),0)),0)</f>
        <v>0</v>
      </c>
      <c r="J101" t="n">
        <f>IF(6&lt;=Paramètres!$B$9,MAX(0,IFERROR(N(IF(ISNUMBER(Charges!K101),MAX(0,Charges!K101),IFERROR(VLOOKUP(Charges!K101,Paramètres!$A$15:$B$18,2,FALSE),0))),0)),0)</f>
        <v>0</v>
      </c>
      <c r="K101" t="n">
        <f>IF(7&lt;=Paramètres!$B$9,MAX(0,IFERROR(N(IF(ISNUMBER(Charges!L101),MAX(0,Charges!L101),IFERROR(VLOOKUP(Charges!L101,Paramètres!$A$15:$B$18,2,FALSE),0))),0)),0)</f>
        <v>0</v>
      </c>
      <c r="L101" t="n">
        <f>IF(8&lt;=Paramètres!$B$9,MAX(0,IFERROR(N(IF(ISNUMBER(Charges!M101),MAX(0,Charges!M101),IFERROR(VLOOKUP(Charges!M101,Paramètres!$A$15:$B$18,2,FALSE),0))),0)),0)</f>
        <v>0</v>
      </c>
      <c r="M101" t="n">
        <f>IF(9&lt;=Paramètres!$B$9,MAX(0,IFERROR(N(IF(ISNUMBER(Charges!N101),MAX(0,Charges!N101),IFERROR(VLOOKUP(Charges!N101,Paramètres!$A$15:$B$18,2,FALSE),0))),0)),0)</f>
        <v>0</v>
      </c>
      <c r="N101" t="n">
        <f>IF(10&lt;=Paramètres!$B$9,MAX(0,IFERROR(N(IF(ISNUMBER(Charges!O101),MAX(0,Charges!O101),IFERROR(VLOOKUP(Charges!O101,Paramètres!$A$15:$B$18,2,FALSE),0))),0)),0)</f>
        <v>0</v>
      </c>
      <c r="O101" t="n">
        <f>IF(11&lt;=Paramètres!$B$9,MAX(0,IFERROR(N(IF(ISNUMBER(Charges!P101),MAX(0,Charges!P101),IFERROR(VLOOKUP(Charges!P101,Paramètres!$A$15:$B$18,2,FALSE),0))),0)),0)</f>
        <v>0</v>
      </c>
      <c r="P101" t="n">
        <f>IF(12&lt;=Paramètres!$B$9,MAX(0,IFERROR(N(IF(ISNUMBER(Charges!Q101),MAX(0,Charges!Q101),IFERROR(VLOOKUP(Charges!Q101,Paramètres!$A$15:$B$18,2,FALSE),0))),0)),0)</f>
        <v>0</v>
      </c>
      <c r="Q101" t="n">
        <f>IF(13&lt;=Paramètres!$B$9,MAX(0,IFERROR(N(IF(ISNUMBER(Charges!R101),MAX(0,Charges!R101),IFERROR(VLOOKUP(Charges!R101,Paramètres!$A$15:$B$18,2,FALSE),0))),0)),0)</f>
        <v>0</v>
      </c>
      <c r="R101" t="n">
        <f>SUM(E101:Q101)</f>
        <v>0</v>
      </c>
      <c r="S101" t="n">
        <f>IF(IFERROR(VLOOKUP(A101,'Projets'!$A$8:$Z$67,7,FALSE),"")="Engager",1,0)</f>
        <v>0</v>
      </c>
      <c r="T101" t="n">
        <f>IF(OR(Charges!F101="",AND(ISNUMBER(Charges!F101),Charges!F101&gt;=0),Charges!F101="S",Charges!F101="M",Charges!F101="L",Charges!F101="XL"),0,1)+IF(OR(Charges!G101="",AND(ISNUMBER(Charges!G101),Charges!G101&gt;=0),Charges!G101="S",Charges!G101="M",Charges!G101="L",Charges!G101="XL"),0,1)+IF(OR(Charges!H101="",AND(ISNUMBER(Charges!H101),Charges!H101&gt;=0),Charges!H101="S",Charges!H101="M",Charges!H101="L",Charges!H101="XL"),0,1)+IF(OR(Charges!I101="",AND(ISNUMBER(Charges!I101),Charges!I101&gt;=0),Charges!I101="S",Charges!I101="M",Charges!I101="L",Charges!I101="XL"),0,1)+IF(OR(Charges!J101="",AND(ISNUMBER(Charges!J101),Charges!J101&gt;=0),Charges!J101="S",Charges!J101="M",Charges!J101="L",Charges!J101="XL"),0,1)+IF(OR(Charges!K101="",AND(ISNUMBER(Charges!K101),Charges!K101&gt;=0),Charges!K101="S",Charges!K101="M",Charges!K101="L",Charges!K101="XL"),0,1)+IF(OR(Charges!L101="",AND(ISNUMBER(Charges!L101),Charges!L101&gt;=0),Charges!L101="S",Charges!L101="M",Charges!L101="L",Charges!L101="XL"),0,1)+IF(OR(Charges!M101="",AND(ISNUMBER(Charges!M101),Charges!M101&gt;=0),Charges!M101="S",Charges!M101="M",Charges!M101="L",Charges!M101="XL"),0,1)+IF(OR(Charges!N101="",AND(ISNUMBER(Charges!N101),Charges!N101&gt;=0),Charges!N101="S",Charges!N101="M",Charges!N101="L",Charges!N101="XL"),0,1)+IF(OR(Charges!O101="",AND(ISNUMBER(Charges!O101),Charges!O101&gt;=0),Charges!O101="S",Charges!O101="M",Charges!O101="L",Charges!O101="XL"),0,1)+IF(OR(Charges!P101="",AND(ISNUMBER(Charges!P101),Charges!P101&gt;=0),Charges!P101="S",Charges!P101="M",Charges!P101="L",Charges!P101="XL"),0,1)+IF(OR(Charges!Q101="",AND(ISNUMBER(Charges!Q101),Charges!Q101&gt;=0),Charges!Q101="S",Charges!Q101="M",Charges!Q101="L",Charges!Q101="XL"),0,1)+IF(OR(Charges!R101="",AND(ISNUMBER(Charges!R101),Charges!R101&gt;=0),Charges!R101="S",Charges!R101="M",Charges!R101="L",Charges!R101="XL"),0,1)</f>
        <v>0</v>
      </c>
      <c r="U101" t="n">
        <f>IF(AND(1&gt;Paramètres!$B$9,Charges!F101&lt;&gt;"",Charges!F101&lt;&gt;0),1,0)+IF(AND(2&gt;Paramètres!$B$9,Charges!G101&lt;&gt;"",Charges!G101&lt;&gt;0),1,0)+IF(AND(3&gt;Paramètres!$B$9,Charges!H101&lt;&gt;"",Charges!H101&lt;&gt;0),1,0)+IF(AND(4&gt;Paramètres!$B$9,Charges!I101&lt;&gt;"",Charges!I101&lt;&gt;0),1,0)+IF(AND(5&gt;Paramètres!$B$9,Charges!J101&lt;&gt;"",Charges!J101&lt;&gt;0),1,0)+IF(AND(6&gt;Paramètres!$B$9,Charges!K101&lt;&gt;"",Charges!K101&lt;&gt;0),1,0)+IF(AND(7&gt;Paramètres!$B$9,Charges!L101&lt;&gt;"",Charges!L101&lt;&gt;0),1,0)+IF(AND(8&gt;Paramètres!$B$9,Charges!M101&lt;&gt;"",Charges!M101&lt;&gt;0),1,0)+IF(AND(9&gt;Paramètres!$B$9,Charges!N101&lt;&gt;"",Charges!N101&lt;&gt;0),1,0)+IF(AND(10&gt;Paramètres!$B$9,Charges!O101&lt;&gt;"",Charges!O101&lt;&gt;0),1,0)+IF(AND(11&gt;Paramètres!$B$9,Charges!P101&lt;&gt;"",Charges!P101&lt;&gt;0),1,0)+IF(AND(12&gt;Paramètres!$B$9,Charges!Q101&lt;&gt;"",Charges!Q101&lt;&gt;0),1,0)+IF(AND(13&gt;Paramètres!$B$9,Charges!R101&lt;&gt;"",Charges!R101&lt;&gt;0),1,0)</f>
        <v>0</v>
      </c>
      <c r="V101" t="n">
        <f>IF(IFERROR(VLOOKUP(A101,'Projets'!$A$8:$Z$67,5,FALSE),"")="Engager",1,0)</f>
        <v>0</v>
      </c>
      <c r="W101" t="n">
        <f>IF(IFERROR(VLOOKUP(A101,'Projets'!$A$8:$Z$67,6,FALSE),"")="Engager",1,0)</f>
        <v>0</v>
      </c>
      <c r="X101" t="n">
        <f>E101*S101</f>
        <v>0</v>
      </c>
      <c r="Y101" t="n">
        <f>F101*S101</f>
        <v>0</v>
      </c>
      <c r="Z101" t="n">
        <f>G101*S101</f>
        <v>0</v>
      </c>
      <c r="AA101" t="n">
        <f>H101*S101</f>
        <v>0</v>
      </c>
      <c r="AB101" t="n">
        <f>I101*S101</f>
        <v>0</v>
      </c>
      <c r="AC101" t="n">
        <f>J101*S101</f>
        <v>0</v>
      </c>
      <c r="AD101" t="n">
        <f>K101*S101</f>
        <v>0</v>
      </c>
      <c r="AE101" t="n">
        <f>L101*S101</f>
        <v>0</v>
      </c>
      <c r="AF101" t="n">
        <f>M101*S101</f>
        <v>0</v>
      </c>
      <c r="AG101" t="n">
        <f>N101*S101</f>
        <v>0</v>
      </c>
      <c r="AH101" t="n">
        <f>O101*S101</f>
        <v>0</v>
      </c>
      <c r="AI101" t="n">
        <f>P101*S101</f>
        <v>0</v>
      </c>
      <c r="AJ101" t="n">
        <f>Q101*S101</f>
        <v>0</v>
      </c>
      <c r="AK101" t="n">
        <f>E101*V101</f>
        <v>0</v>
      </c>
      <c r="AL101" t="n">
        <f>F101*V101</f>
        <v>0</v>
      </c>
      <c r="AM101" t="n">
        <f>G101*V101</f>
        <v>0</v>
      </c>
      <c r="AN101" t="n">
        <f>H101*V101</f>
        <v>0</v>
      </c>
      <c r="AO101" t="n">
        <f>I101*V101</f>
        <v>0</v>
      </c>
      <c r="AP101" t="n">
        <f>J101*V101</f>
        <v>0</v>
      </c>
      <c r="AQ101" t="n">
        <f>K101*V101</f>
        <v>0</v>
      </c>
      <c r="AR101" t="n">
        <f>L101*V101</f>
        <v>0</v>
      </c>
      <c r="AS101" t="n">
        <f>M101*V101</f>
        <v>0</v>
      </c>
      <c r="AT101" t="n">
        <f>N101*V101</f>
        <v>0</v>
      </c>
      <c r="AU101" t="n">
        <f>O101*V101</f>
        <v>0</v>
      </c>
      <c r="AV101" t="n">
        <f>P101*V101</f>
        <v>0</v>
      </c>
      <c r="AW101" t="n">
        <f>Q101*V101</f>
        <v>0</v>
      </c>
      <c r="AX101" t="n">
        <f>E101*W101</f>
        <v>0</v>
      </c>
      <c r="AY101" t="n">
        <f>F101*W101</f>
        <v>0</v>
      </c>
      <c r="AZ101" t="n">
        <f>G101*W101</f>
        <v>0</v>
      </c>
      <c r="BA101" t="n">
        <f>H101*W101</f>
        <v>0</v>
      </c>
      <c r="BB101" t="n">
        <f>I101*W101</f>
        <v>0</v>
      </c>
      <c r="BC101" t="n">
        <f>J101*W101</f>
        <v>0</v>
      </c>
      <c r="BD101" t="n">
        <f>K101*W101</f>
        <v>0</v>
      </c>
      <c r="BE101" t="n">
        <f>L101*W101</f>
        <v>0</v>
      </c>
      <c r="BF101" t="n">
        <f>M101*W101</f>
        <v>0</v>
      </c>
      <c r="BG101" t="n">
        <f>N101*W101</f>
        <v>0</v>
      </c>
      <c r="BH101" t="n">
        <f>O101*W101</f>
        <v>0</v>
      </c>
      <c r="BI101" t="n">
        <f>P101*W101</f>
        <v>0</v>
      </c>
      <c r="BJ101" t="n">
        <f>Q101*W101</f>
        <v>0</v>
      </c>
    </row>
    <row r="102">
      <c r="A102" t="n">
        <f>Charges!A102</f>
        <v>0</v>
      </c>
      <c r="B102" t="n">
        <f>Charges!C102</f>
        <v>0</v>
      </c>
      <c r="C102" t="str">
        <f>Charges!D102</f>
        <v/>
      </c>
      <c r="E102" t="n">
        <f>IF(1&lt;=Paramètres!$B$9,MAX(0,IFERROR(N(IF(ISNUMBER(Charges!F102),MAX(0,Charges!F102),IFERROR(VLOOKUP(Charges!F102,Paramètres!$A$15:$B$18,2,FALSE),0))),0)),0)</f>
        <v>0</v>
      </c>
      <c r="F102" t="n">
        <f>IF(2&lt;=Paramètres!$B$9,MAX(0,IFERROR(N(IF(ISNUMBER(Charges!G102),MAX(0,Charges!G102),IFERROR(VLOOKUP(Charges!G102,Paramètres!$A$15:$B$18,2,FALSE),0))),0)),0)</f>
        <v>0</v>
      </c>
      <c r="G102" t="n">
        <f>IF(3&lt;=Paramètres!$B$9,MAX(0,IFERROR(N(IF(ISNUMBER(Charges!H102),MAX(0,Charges!H102),IFERROR(VLOOKUP(Charges!H102,Paramètres!$A$15:$B$18,2,FALSE),0))),0)),0)</f>
        <v>0</v>
      </c>
      <c r="H102" t="n">
        <f>IF(4&lt;=Paramètres!$B$9,MAX(0,IFERROR(N(IF(ISNUMBER(Charges!I102),MAX(0,Charges!I102),IFERROR(VLOOKUP(Charges!I102,Paramètres!$A$15:$B$18,2,FALSE),0))),0)),0)</f>
        <v>0</v>
      </c>
      <c r="I102" t="n">
        <f>IF(5&lt;=Paramètres!$B$9,MAX(0,IFERROR(N(IF(ISNUMBER(Charges!J102),MAX(0,Charges!J102),IFERROR(VLOOKUP(Charges!J102,Paramètres!$A$15:$B$18,2,FALSE),0))),0)),0)</f>
        <v>0</v>
      </c>
      <c r="J102" t="n">
        <f>IF(6&lt;=Paramètres!$B$9,MAX(0,IFERROR(N(IF(ISNUMBER(Charges!K102),MAX(0,Charges!K102),IFERROR(VLOOKUP(Charges!K102,Paramètres!$A$15:$B$18,2,FALSE),0))),0)),0)</f>
        <v>0</v>
      </c>
      <c r="K102" t="n">
        <f>IF(7&lt;=Paramètres!$B$9,MAX(0,IFERROR(N(IF(ISNUMBER(Charges!L102),MAX(0,Charges!L102),IFERROR(VLOOKUP(Charges!L102,Paramètres!$A$15:$B$18,2,FALSE),0))),0)),0)</f>
        <v>0</v>
      </c>
      <c r="L102" t="n">
        <f>IF(8&lt;=Paramètres!$B$9,MAX(0,IFERROR(N(IF(ISNUMBER(Charges!M102),MAX(0,Charges!M102),IFERROR(VLOOKUP(Charges!M102,Paramètres!$A$15:$B$18,2,FALSE),0))),0)),0)</f>
        <v>0</v>
      </c>
      <c r="M102" t="n">
        <f>IF(9&lt;=Paramètres!$B$9,MAX(0,IFERROR(N(IF(ISNUMBER(Charges!N102),MAX(0,Charges!N102),IFERROR(VLOOKUP(Charges!N102,Paramètres!$A$15:$B$18,2,FALSE),0))),0)),0)</f>
        <v>0</v>
      </c>
      <c r="N102" t="n">
        <f>IF(10&lt;=Paramètres!$B$9,MAX(0,IFERROR(N(IF(ISNUMBER(Charges!O102),MAX(0,Charges!O102),IFERROR(VLOOKUP(Charges!O102,Paramètres!$A$15:$B$18,2,FALSE),0))),0)),0)</f>
        <v>0</v>
      </c>
      <c r="O102" t="n">
        <f>IF(11&lt;=Paramètres!$B$9,MAX(0,IFERROR(N(IF(ISNUMBER(Charges!P102),MAX(0,Charges!P102),IFERROR(VLOOKUP(Charges!P102,Paramètres!$A$15:$B$18,2,FALSE),0))),0)),0)</f>
        <v>0</v>
      </c>
      <c r="P102" t="n">
        <f>IF(12&lt;=Paramètres!$B$9,MAX(0,IFERROR(N(IF(ISNUMBER(Charges!Q102),MAX(0,Charges!Q102),IFERROR(VLOOKUP(Charges!Q102,Paramètres!$A$15:$B$18,2,FALSE),0))),0)),0)</f>
        <v>0</v>
      </c>
      <c r="Q102" t="n">
        <f>IF(13&lt;=Paramètres!$B$9,MAX(0,IFERROR(N(IF(ISNUMBER(Charges!R102),MAX(0,Charges!R102),IFERROR(VLOOKUP(Charges!R102,Paramètres!$A$15:$B$18,2,FALSE),0))),0)),0)</f>
        <v>0</v>
      </c>
      <c r="R102" t="n">
        <f>SUM(E102:Q102)</f>
        <v>0</v>
      </c>
      <c r="S102" t="n">
        <f>IF(IFERROR(VLOOKUP(A102,'Projets'!$A$8:$Z$67,7,FALSE),"")="Engager",1,0)</f>
        <v>0</v>
      </c>
      <c r="T102" t="n">
        <f>IF(OR(Charges!F102="",AND(ISNUMBER(Charges!F102),Charges!F102&gt;=0),Charges!F102="S",Charges!F102="M",Charges!F102="L",Charges!F102="XL"),0,1)+IF(OR(Charges!G102="",AND(ISNUMBER(Charges!G102),Charges!G102&gt;=0),Charges!G102="S",Charges!G102="M",Charges!G102="L",Charges!G102="XL"),0,1)+IF(OR(Charges!H102="",AND(ISNUMBER(Charges!H102),Charges!H102&gt;=0),Charges!H102="S",Charges!H102="M",Charges!H102="L",Charges!H102="XL"),0,1)+IF(OR(Charges!I102="",AND(ISNUMBER(Charges!I102),Charges!I102&gt;=0),Charges!I102="S",Charges!I102="M",Charges!I102="L",Charges!I102="XL"),0,1)+IF(OR(Charges!J102="",AND(ISNUMBER(Charges!J102),Charges!J102&gt;=0),Charges!J102="S",Charges!J102="M",Charges!J102="L",Charges!J102="XL"),0,1)+IF(OR(Charges!K102="",AND(ISNUMBER(Charges!K102),Charges!K102&gt;=0),Charges!K102="S",Charges!K102="M",Charges!K102="L",Charges!K102="XL"),0,1)+IF(OR(Charges!L102="",AND(ISNUMBER(Charges!L102),Charges!L102&gt;=0),Charges!L102="S",Charges!L102="M",Charges!L102="L",Charges!L102="XL"),0,1)+IF(OR(Charges!M102="",AND(ISNUMBER(Charges!M102),Charges!M102&gt;=0),Charges!M102="S",Charges!M102="M",Charges!M102="L",Charges!M102="XL"),0,1)+IF(OR(Charges!N102="",AND(ISNUMBER(Charges!N102),Charges!N102&gt;=0),Charges!N102="S",Charges!N102="M",Charges!N102="L",Charges!N102="XL"),0,1)+IF(OR(Charges!O102="",AND(ISNUMBER(Charges!O102),Charges!O102&gt;=0),Charges!O102="S",Charges!O102="M",Charges!O102="L",Charges!O102="XL"),0,1)+IF(OR(Charges!P102="",AND(ISNUMBER(Charges!P102),Charges!P102&gt;=0),Charges!P102="S",Charges!P102="M",Charges!P102="L",Charges!P102="XL"),0,1)+IF(OR(Charges!Q102="",AND(ISNUMBER(Charges!Q102),Charges!Q102&gt;=0),Charges!Q102="S",Charges!Q102="M",Charges!Q102="L",Charges!Q102="XL"),0,1)+IF(OR(Charges!R102="",AND(ISNUMBER(Charges!R102),Charges!R102&gt;=0),Charges!R102="S",Charges!R102="M",Charges!R102="L",Charges!R102="XL"),0,1)</f>
        <v>0</v>
      </c>
      <c r="U102" t="n">
        <f>IF(AND(1&gt;Paramètres!$B$9,Charges!F102&lt;&gt;"",Charges!F102&lt;&gt;0),1,0)+IF(AND(2&gt;Paramètres!$B$9,Charges!G102&lt;&gt;"",Charges!G102&lt;&gt;0),1,0)+IF(AND(3&gt;Paramètres!$B$9,Charges!H102&lt;&gt;"",Charges!H102&lt;&gt;0),1,0)+IF(AND(4&gt;Paramètres!$B$9,Charges!I102&lt;&gt;"",Charges!I102&lt;&gt;0),1,0)+IF(AND(5&gt;Paramètres!$B$9,Charges!J102&lt;&gt;"",Charges!J102&lt;&gt;0),1,0)+IF(AND(6&gt;Paramètres!$B$9,Charges!K102&lt;&gt;"",Charges!K102&lt;&gt;0),1,0)+IF(AND(7&gt;Paramètres!$B$9,Charges!L102&lt;&gt;"",Charges!L102&lt;&gt;0),1,0)+IF(AND(8&gt;Paramètres!$B$9,Charges!M102&lt;&gt;"",Charges!M102&lt;&gt;0),1,0)+IF(AND(9&gt;Paramètres!$B$9,Charges!N102&lt;&gt;"",Charges!N102&lt;&gt;0),1,0)+IF(AND(10&gt;Paramètres!$B$9,Charges!O102&lt;&gt;"",Charges!O102&lt;&gt;0),1,0)+IF(AND(11&gt;Paramètres!$B$9,Charges!P102&lt;&gt;"",Charges!P102&lt;&gt;0),1,0)+IF(AND(12&gt;Paramètres!$B$9,Charges!Q102&lt;&gt;"",Charges!Q102&lt;&gt;0),1,0)+IF(AND(13&gt;Paramètres!$B$9,Charges!R102&lt;&gt;"",Charges!R102&lt;&gt;0),1,0)</f>
        <v>0</v>
      </c>
      <c r="V102" t="n">
        <f>IF(IFERROR(VLOOKUP(A102,'Projets'!$A$8:$Z$67,5,FALSE),"")="Engager",1,0)</f>
        <v>0</v>
      </c>
      <c r="W102" t="n">
        <f>IF(IFERROR(VLOOKUP(A102,'Projets'!$A$8:$Z$67,6,FALSE),"")="Engager",1,0)</f>
        <v>0</v>
      </c>
      <c r="X102" t="n">
        <f>E102*S102</f>
        <v>0</v>
      </c>
      <c r="Y102" t="n">
        <f>F102*S102</f>
        <v>0</v>
      </c>
      <c r="Z102" t="n">
        <f>G102*S102</f>
        <v>0</v>
      </c>
      <c r="AA102" t="n">
        <f>H102*S102</f>
        <v>0</v>
      </c>
      <c r="AB102" t="n">
        <f>I102*S102</f>
        <v>0</v>
      </c>
      <c r="AC102" t="n">
        <f>J102*S102</f>
        <v>0</v>
      </c>
      <c r="AD102" t="n">
        <f>K102*S102</f>
        <v>0</v>
      </c>
      <c r="AE102" t="n">
        <f>L102*S102</f>
        <v>0</v>
      </c>
      <c r="AF102" t="n">
        <f>M102*S102</f>
        <v>0</v>
      </c>
      <c r="AG102" t="n">
        <f>N102*S102</f>
        <v>0</v>
      </c>
      <c r="AH102" t="n">
        <f>O102*S102</f>
        <v>0</v>
      </c>
      <c r="AI102" t="n">
        <f>P102*S102</f>
        <v>0</v>
      </c>
      <c r="AJ102" t="n">
        <f>Q102*S102</f>
        <v>0</v>
      </c>
      <c r="AK102" t="n">
        <f>E102*V102</f>
        <v>0</v>
      </c>
      <c r="AL102" t="n">
        <f>F102*V102</f>
        <v>0</v>
      </c>
      <c r="AM102" t="n">
        <f>G102*V102</f>
        <v>0</v>
      </c>
      <c r="AN102" t="n">
        <f>H102*V102</f>
        <v>0</v>
      </c>
      <c r="AO102" t="n">
        <f>I102*V102</f>
        <v>0</v>
      </c>
      <c r="AP102" t="n">
        <f>J102*V102</f>
        <v>0</v>
      </c>
      <c r="AQ102" t="n">
        <f>K102*V102</f>
        <v>0</v>
      </c>
      <c r="AR102" t="n">
        <f>L102*V102</f>
        <v>0</v>
      </c>
      <c r="AS102" t="n">
        <f>M102*V102</f>
        <v>0</v>
      </c>
      <c r="AT102" t="n">
        <f>N102*V102</f>
        <v>0</v>
      </c>
      <c r="AU102" t="n">
        <f>O102*V102</f>
        <v>0</v>
      </c>
      <c r="AV102" t="n">
        <f>P102*V102</f>
        <v>0</v>
      </c>
      <c r="AW102" t="n">
        <f>Q102*V102</f>
        <v>0</v>
      </c>
      <c r="AX102" t="n">
        <f>E102*W102</f>
        <v>0</v>
      </c>
      <c r="AY102" t="n">
        <f>F102*W102</f>
        <v>0</v>
      </c>
      <c r="AZ102" t="n">
        <f>G102*W102</f>
        <v>0</v>
      </c>
      <c r="BA102" t="n">
        <f>H102*W102</f>
        <v>0</v>
      </c>
      <c r="BB102" t="n">
        <f>I102*W102</f>
        <v>0</v>
      </c>
      <c r="BC102" t="n">
        <f>J102*W102</f>
        <v>0</v>
      </c>
      <c r="BD102" t="n">
        <f>K102*W102</f>
        <v>0</v>
      </c>
      <c r="BE102" t="n">
        <f>L102*W102</f>
        <v>0</v>
      </c>
      <c r="BF102" t="n">
        <f>M102*W102</f>
        <v>0</v>
      </c>
      <c r="BG102" t="n">
        <f>N102*W102</f>
        <v>0</v>
      </c>
      <c r="BH102" t="n">
        <f>O102*W102</f>
        <v>0</v>
      </c>
      <c r="BI102" t="n">
        <f>P102*W102</f>
        <v>0</v>
      </c>
      <c r="BJ102" t="n">
        <f>Q102*W102</f>
        <v>0</v>
      </c>
    </row>
    <row r="103">
      <c r="A103" t="n">
        <f>Charges!A103</f>
        <v>0</v>
      </c>
      <c r="B103" t="n">
        <f>Charges!C103</f>
        <v>0</v>
      </c>
      <c r="C103" t="str">
        <f>Charges!D103</f>
        <v/>
      </c>
      <c r="E103" t="n">
        <f>IF(1&lt;=Paramètres!$B$9,MAX(0,IFERROR(N(IF(ISNUMBER(Charges!F103),MAX(0,Charges!F103),IFERROR(VLOOKUP(Charges!F103,Paramètres!$A$15:$B$18,2,FALSE),0))),0)),0)</f>
        <v>0</v>
      </c>
      <c r="F103" t="n">
        <f>IF(2&lt;=Paramètres!$B$9,MAX(0,IFERROR(N(IF(ISNUMBER(Charges!G103),MAX(0,Charges!G103),IFERROR(VLOOKUP(Charges!G103,Paramètres!$A$15:$B$18,2,FALSE),0))),0)),0)</f>
        <v>0</v>
      </c>
      <c r="G103" t="n">
        <f>IF(3&lt;=Paramètres!$B$9,MAX(0,IFERROR(N(IF(ISNUMBER(Charges!H103),MAX(0,Charges!H103),IFERROR(VLOOKUP(Charges!H103,Paramètres!$A$15:$B$18,2,FALSE),0))),0)),0)</f>
        <v>0</v>
      </c>
      <c r="H103" t="n">
        <f>IF(4&lt;=Paramètres!$B$9,MAX(0,IFERROR(N(IF(ISNUMBER(Charges!I103),MAX(0,Charges!I103),IFERROR(VLOOKUP(Charges!I103,Paramètres!$A$15:$B$18,2,FALSE),0))),0)),0)</f>
        <v>0</v>
      </c>
      <c r="I103" t="n">
        <f>IF(5&lt;=Paramètres!$B$9,MAX(0,IFERROR(N(IF(ISNUMBER(Charges!J103),MAX(0,Charges!J103),IFERROR(VLOOKUP(Charges!J103,Paramètres!$A$15:$B$18,2,FALSE),0))),0)),0)</f>
        <v>0</v>
      </c>
      <c r="J103" t="n">
        <f>IF(6&lt;=Paramètres!$B$9,MAX(0,IFERROR(N(IF(ISNUMBER(Charges!K103),MAX(0,Charges!K103),IFERROR(VLOOKUP(Charges!K103,Paramètres!$A$15:$B$18,2,FALSE),0))),0)),0)</f>
        <v>0</v>
      </c>
      <c r="K103" t="n">
        <f>IF(7&lt;=Paramètres!$B$9,MAX(0,IFERROR(N(IF(ISNUMBER(Charges!L103),MAX(0,Charges!L103),IFERROR(VLOOKUP(Charges!L103,Paramètres!$A$15:$B$18,2,FALSE),0))),0)),0)</f>
        <v>0</v>
      </c>
      <c r="L103" t="n">
        <f>IF(8&lt;=Paramètres!$B$9,MAX(0,IFERROR(N(IF(ISNUMBER(Charges!M103),MAX(0,Charges!M103),IFERROR(VLOOKUP(Charges!M103,Paramètres!$A$15:$B$18,2,FALSE),0))),0)),0)</f>
        <v>0</v>
      </c>
      <c r="M103" t="n">
        <f>IF(9&lt;=Paramètres!$B$9,MAX(0,IFERROR(N(IF(ISNUMBER(Charges!N103),MAX(0,Charges!N103),IFERROR(VLOOKUP(Charges!N103,Paramètres!$A$15:$B$18,2,FALSE),0))),0)),0)</f>
        <v>0</v>
      </c>
      <c r="N103" t="n">
        <f>IF(10&lt;=Paramètres!$B$9,MAX(0,IFERROR(N(IF(ISNUMBER(Charges!O103),MAX(0,Charges!O103),IFERROR(VLOOKUP(Charges!O103,Paramètres!$A$15:$B$18,2,FALSE),0))),0)),0)</f>
        <v>0</v>
      </c>
      <c r="O103" t="n">
        <f>IF(11&lt;=Paramètres!$B$9,MAX(0,IFERROR(N(IF(ISNUMBER(Charges!P103),MAX(0,Charges!P103),IFERROR(VLOOKUP(Charges!P103,Paramètres!$A$15:$B$18,2,FALSE),0))),0)),0)</f>
        <v>0</v>
      </c>
      <c r="P103" t="n">
        <f>IF(12&lt;=Paramètres!$B$9,MAX(0,IFERROR(N(IF(ISNUMBER(Charges!Q103),MAX(0,Charges!Q103),IFERROR(VLOOKUP(Charges!Q103,Paramètres!$A$15:$B$18,2,FALSE),0))),0)),0)</f>
        <v>0</v>
      </c>
      <c r="Q103" t="n">
        <f>IF(13&lt;=Paramètres!$B$9,MAX(0,IFERROR(N(IF(ISNUMBER(Charges!R103),MAX(0,Charges!R103),IFERROR(VLOOKUP(Charges!R103,Paramètres!$A$15:$B$18,2,FALSE),0))),0)),0)</f>
        <v>0</v>
      </c>
      <c r="R103" t="n">
        <f>SUM(E103:Q103)</f>
        <v>0</v>
      </c>
      <c r="S103" t="n">
        <f>IF(IFERROR(VLOOKUP(A103,'Projets'!$A$8:$Z$67,7,FALSE),"")="Engager",1,0)</f>
        <v>0</v>
      </c>
      <c r="T103" t="n">
        <f>IF(OR(Charges!F103="",AND(ISNUMBER(Charges!F103),Charges!F103&gt;=0),Charges!F103="S",Charges!F103="M",Charges!F103="L",Charges!F103="XL"),0,1)+IF(OR(Charges!G103="",AND(ISNUMBER(Charges!G103),Charges!G103&gt;=0),Charges!G103="S",Charges!G103="M",Charges!G103="L",Charges!G103="XL"),0,1)+IF(OR(Charges!H103="",AND(ISNUMBER(Charges!H103),Charges!H103&gt;=0),Charges!H103="S",Charges!H103="M",Charges!H103="L",Charges!H103="XL"),0,1)+IF(OR(Charges!I103="",AND(ISNUMBER(Charges!I103),Charges!I103&gt;=0),Charges!I103="S",Charges!I103="M",Charges!I103="L",Charges!I103="XL"),0,1)+IF(OR(Charges!J103="",AND(ISNUMBER(Charges!J103),Charges!J103&gt;=0),Charges!J103="S",Charges!J103="M",Charges!J103="L",Charges!J103="XL"),0,1)+IF(OR(Charges!K103="",AND(ISNUMBER(Charges!K103),Charges!K103&gt;=0),Charges!K103="S",Charges!K103="M",Charges!K103="L",Charges!K103="XL"),0,1)+IF(OR(Charges!L103="",AND(ISNUMBER(Charges!L103),Charges!L103&gt;=0),Charges!L103="S",Charges!L103="M",Charges!L103="L",Charges!L103="XL"),0,1)+IF(OR(Charges!M103="",AND(ISNUMBER(Charges!M103),Charges!M103&gt;=0),Charges!M103="S",Charges!M103="M",Charges!M103="L",Charges!M103="XL"),0,1)+IF(OR(Charges!N103="",AND(ISNUMBER(Charges!N103),Charges!N103&gt;=0),Charges!N103="S",Charges!N103="M",Charges!N103="L",Charges!N103="XL"),0,1)+IF(OR(Charges!O103="",AND(ISNUMBER(Charges!O103),Charges!O103&gt;=0),Charges!O103="S",Charges!O103="M",Charges!O103="L",Charges!O103="XL"),0,1)+IF(OR(Charges!P103="",AND(ISNUMBER(Charges!P103),Charges!P103&gt;=0),Charges!P103="S",Charges!P103="M",Charges!P103="L",Charges!P103="XL"),0,1)+IF(OR(Charges!Q103="",AND(ISNUMBER(Charges!Q103),Charges!Q103&gt;=0),Charges!Q103="S",Charges!Q103="M",Charges!Q103="L",Charges!Q103="XL"),0,1)+IF(OR(Charges!R103="",AND(ISNUMBER(Charges!R103),Charges!R103&gt;=0),Charges!R103="S",Charges!R103="M",Charges!R103="L",Charges!R103="XL"),0,1)</f>
        <v>0</v>
      </c>
      <c r="U103" t="n">
        <f>IF(AND(1&gt;Paramètres!$B$9,Charges!F103&lt;&gt;"",Charges!F103&lt;&gt;0),1,0)+IF(AND(2&gt;Paramètres!$B$9,Charges!G103&lt;&gt;"",Charges!G103&lt;&gt;0),1,0)+IF(AND(3&gt;Paramètres!$B$9,Charges!H103&lt;&gt;"",Charges!H103&lt;&gt;0),1,0)+IF(AND(4&gt;Paramètres!$B$9,Charges!I103&lt;&gt;"",Charges!I103&lt;&gt;0),1,0)+IF(AND(5&gt;Paramètres!$B$9,Charges!J103&lt;&gt;"",Charges!J103&lt;&gt;0),1,0)+IF(AND(6&gt;Paramètres!$B$9,Charges!K103&lt;&gt;"",Charges!K103&lt;&gt;0),1,0)+IF(AND(7&gt;Paramètres!$B$9,Charges!L103&lt;&gt;"",Charges!L103&lt;&gt;0),1,0)+IF(AND(8&gt;Paramètres!$B$9,Charges!M103&lt;&gt;"",Charges!M103&lt;&gt;0),1,0)+IF(AND(9&gt;Paramètres!$B$9,Charges!N103&lt;&gt;"",Charges!N103&lt;&gt;0),1,0)+IF(AND(10&gt;Paramètres!$B$9,Charges!O103&lt;&gt;"",Charges!O103&lt;&gt;0),1,0)+IF(AND(11&gt;Paramètres!$B$9,Charges!P103&lt;&gt;"",Charges!P103&lt;&gt;0),1,0)+IF(AND(12&gt;Paramètres!$B$9,Charges!Q103&lt;&gt;"",Charges!Q103&lt;&gt;0),1,0)+IF(AND(13&gt;Paramètres!$B$9,Charges!R103&lt;&gt;"",Charges!R103&lt;&gt;0),1,0)</f>
        <v>0</v>
      </c>
      <c r="V103" t="n">
        <f>IF(IFERROR(VLOOKUP(A103,'Projets'!$A$8:$Z$67,5,FALSE),"")="Engager",1,0)</f>
        <v>0</v>
      </c>
      <c r="W103" t="n">
        <f>IF(IFERROR(VLOOKUP(A103,'Projets'!$A$8:$Z$67,6,FALSE),"")="Engager",1,0)</f>
        <v>0</v>
      </c>
      <c r="X103" t="n">
        <f>E103*S103</f>
        <v>0</v>
      </c>
      <c r="Y103" t="n">
        <f>F103*S103</f>
        <v>0</v>
      </c>
      <c r="Z103" t="n">
        <f>G103*S103</f>
        <v>0</v>
      </c>
      <c r="AA103" t="n">
        <f>H103*S103</f>
        <v>0</v>
      </c>
      <c r="AB103" t="n">
        <f>I103*S103</f>
        <v>0</v>
      </c>
      <c r="AC103" t="n">
        <f>J103*S103</f>
        <v>0</v>
      </c>
      <c r="AD103" t="n">
        <f>K103*S103</f>
        <v>0</v>
      </c>
      <c r="AE103" t="n">
        <f>L103*S103</f>
        <v>0</v>
      </c>
      <c r="AF103" t="n">
        <f>M103*S103</f>
        <v>0</v>
      </c>
      <c r="AG103" t="n">
        <f>N103*S103</f>
        <v>0</v>
      </c>
      <c r="AH103" t="n">
        <f>O103*S103</f>
        <v>0</v>
      </c>
      <c r="AI103" t="n">
        <f>P103*S103</f>
        <v>0</v>
      </c>
      <c r="AJ103" t="n">
        <f>Q103*S103</f>
        <v>0</v>
      </c>
      <c r="AK103" t="n">
        <f>E103*V103</f>
        <v>0</v>
      </c>
      <c r="AL103" t="n">
        <f>F103*V103</f>
        <v>0</v>
      </c>
      <c r="AM103" t="n">
        <f>G103*V103</f>
        <v>0</v>
      </c>
      <c r="AN103" t="n">
        <f>H103*V103</f>
        <v>0</v>
      </c>
      <c r="AO103" t="n">
        <f>I103*V103</f>
        <v>0</v>
      </c>
      <c r="AP103" t="n">
        <f>J103*V103</f>
        <v>0</v>
      </c>
      <c r="AQ103" t="n">
        <f>K103*V103</f>
        <v>0</v>
      </c>
      <c r="AR103" t="n">
        <f>L103*V103</f>
        <v>0</v>
      </c>
      <c r="AS103" t="n">
        <f>M103*V103</f>
        <v>0</v>
      </c>
      <c r="AT103" t="n">
        <f>N103*V103</f>
        <v>0</v>
      </c>
      <c r="AU103" t="n">
        <f>O103*V103</f>
        <v>0</v>
      </c>
      <c r="AV103" t="n">
        <f>P103*V103</f>
        <v>0</v>
      </c>
      <c r="AW103" t="n">
        <f>Q103*V103</f>
        <v>0</v>
      </c>
      <c r="AX103" t="n">
        <f>E103*W103</f>
        <v>0</v>
      </c>
      <c r="AY103" t="n">
        <f>F103*W103</f>
        <v>0</v>
      </c>
      <c r="AZ103" t="n">
        <f>G103*W103</f>
        <v>0</v>
      </c>
      <c r="BA103" t="n">
        <f>H103*W103</f>
        <v>0</v>
      </c>
      <c r="BB103" t="n">
        <f>I103*W103</f>
        <v>0</v>
      </c>
      <c r="BC103" t="n">
        <f>J103*W103</f>
        <v>0</v>
      </c>
      <c r="BD103" t="n">
        <f>K103*W103</f>
        <v>0</v>
      </c>
      <c r="BE103" t="n">
        <f>L103*W103</f>
        <v>0</v>
      </c>
      <c r="BF103" t="n">
        <f>M103*W103</f>
        <v>0</v>
      </c>
      <c r="BG103" t="n">
        <f>N103*W103</f>
        <v>0</v>
      </c>
      <c r="BH103" t="n">
        <f>O103*W103</f>
        <v>0</v>
      </c>
      <c r="BI103" t="n">
        <f>P103*W103</f>
        <v>0</v>
      </c>
      <c r="BJ103" t="n">
        <f>Q103*W103</f>
        <v>0</v>
      </c>
    </row>
    <row r="104">
      <c r="A104" t="n">
        <f>Charges!A104</f>
        <v>0</v>
      </c>
      <c r="B104" t="n">
        <f>Charges!C104</f>
        <v>0</v>
      </c>
      <c r="C104" t="str">
        <f>Charges!D104</f>
        <v/>
      </c>
      <c r="E104" t="n">
        <f>IF(1&lt;=Paramètres!$B$9,MAX(0,IFERROR(N(IF(ISNUMBER(Charges!F104),MAX(0,Charges!F104),IFERROR(VLOOKUP(Charges!F104,Paramètres!$A$15:$B$18,2,FALSE),0))),0)),0)</f>
        <v>0</v>
      </c>
      <c r="F104" t="n">
        <f>IF(2&lt;=Paramètres!$B$9,MAX(0,IFERROR(N(IF(ISNUMBER(Charges!G104),MAX(0,Charges!G104),IFERROR(VLOOKUP(Charges!G104,Paramètres!$A$15:$B$18,2,FALSE),0))),0)),0)</f>
        <v>0</v>
      </c>
      <c r="G104" t="n">
        <f>IF(3&lt;=Paramètres!$B$9,MAX(0,IFERROR(N(IF(ISNUMBER(Charges!H104),MAX(0,Charges!H104),IFERROR(VLOOKUP(Charges!H104,Paramètres!$A$15:$B$18,2,FALSE),0))),0)),0)</f>
        <v>0</v>
      </c>
      <c r="H104" t="n">
        <f>IF(4&lt;=Paramètres!$B$9,MAX(0,IFERROR(N(IF(ISNUMBER(Charges!I104),MAX(0,Charges!I104),IFERROR(VLOOKUP(Charges!I104,Paramètres!$A$15:$B$18,2,FALSE),0))),0)),0)</f>
        <v>0</v>
      </c>
      <c r="I104" t="n">
        <f>IF(5&lt;=Paramètres!$B$9,MAX(0,IFERROR(N(IF(ISNUMBER(Charges!J104),MAX(0,Charges!J104),IFERROR(VLOOKUP(Charges!J104,Paramètres!$A$15:$B$18,2,FALSE),0))),0)),0)</f>
        <v>0</v>
      </c>
      <c r="J104" t="n">
        <f>IF(6&lt;=Paramètres!$B$9,MAX(0,IFERROR(N(IF(ISNUMBER(Charges!K104),MAX(0,Charges!K104),IFERROR(VLOOKUP(Charges!K104,Paramètres!$A$15:$B$18,2,FALSE),0))),0)),0)</f>
        <v>0</v>
      </c>
      <c r="K104" t="n">
        <f>IF(7&lt;=Paramètres!$B$9,MAX(0,IFERROR(N(IF(ISNUMBER(Charges!L104),MAX(0,Charges!L104),IFERROR(VLOOKUP(Charges!L104,Paramètres!$A$15:$B$18,2,FALSE),0))),0)),0)</f>
        <v>0</v>
      </c>
      <c r="L104" t="n">
        <f>IF(8&lt;=Paramètres!$B$9,MAX(0,IFERROR(N(IF(ISNUMBER(Charges!M104),MAX(0,Charges!M104),IFERROR(VLOOKUP(Charges!M104,Paramètres!$A$15:$B$18,2,FALSE),0))),0)),0)</f>
        <v>0</v>
      </c>
      <c r="M104" t="n">
        <f>IF(9&lt;=Paramètres!$B$9,MAX(0,IFERROR(N(IF(ISNUMBER(Charges!N104),MAX(0,Charges!N104),IFERROR(VLOOKUP(Charges!N104,Paramètres!$A$15:$B$18,2,FALSE),0))),0)),0)</f>
        <v>0</v>
      </c>
      <c r="N104" t="n">
        <f>IF(10&lt;=Paramètres!$B$9,MAX(0,IFERROR(N(IF(ISNUMBER(Charges!O104),MAX(0,Charges!O104),IFERROR(VLOOKUP(Charges!O104,Paramètres!$A$15:$B$18,2,FALSE),0))),0)),0)</f>
        <v>0</v>
      </c>
      <c r="O104" t="n">
        <f>IF(11&lt;=Paramètres!$B$9,MAX(0,IFERROR(N(IF(ISNUMBER(Charges!P104),MAX(0,Charges!P104),IFERROR(VLOOKUP(Charges!P104,Paramètres!$A$15:$B$18,2,FALSE),0))),0)),0)</f>
        <v>0</v>
      </c>
      <c r="P104" t="n">
        <f>IF(12&lt;=Paramètres!$B$9,MAX(0,IFERROR(N(IF(ISNUMBER(Charges!Q104),MAX(0,Charges!Q104),IFERROR(VLOOKUP(Charges!Q104,Paramètres!$A$15:$B$18,2,FALSE),0))),0)),0)</f>
        <v>0</v>
      </c>
      <c r="Q104" t="n">
        <f>IF(13&lt;=Paramètres!$B$9,MAX(0,IFERROR(N(IF(ISNUMBER(Charges!R104),MAX(0,Charges!R104),IFERROR(VLOOKUP(Charges!R104,Paramètres!$A$15:$B$18,2,FALSE),0))),0)),0)</f>
        <v>0</v>
      </c>
      <c r="R104" t="n">
        <f>SUM(E104:Q104)</f>
        <v>0</v>
      </c>
      <c r="S104" t="n">
        <f>IF(IFERROR(VLOOKUP(A104,'Projets'!$A$8:$Z$67,7,FALSE),"")="Engager",1,0)</f>
        <v>0</v>
      </c>
      <c r="T104" t="n">
        <f>IF(OR(Charges!F104="",AND(ISNUMBER(Charges!F104),Charges!F104&gt;=0),Charges!F104="S",Charges!F104="M",Charges!F104="L",Charges!F104="XL"),0,1)+IF(OR(Charges!G104="",AND(ISNUMBER(Charges!G104),Charges!G104&gt;=0),Charges!G104="S",Charges!G104="M",Charges!G104="L",Charges!G104="XL"),0,1)+IF(OR(Charges!H104="",AND(ISNUMBER(Charges!H104),Charges!H104&gt;=0),Charges!H104="S",Charges!H104="M",Charges!H104="L",Charges!H104="XL"),0,1)+IF(OR(Charges!I104="",AND(ISNUMBER(Charges!I104),Charges!I104&gt;=0),Charges!I104="S",Charges!I104="M",Charges!I104="L",Charges!I104="XL"),0,1)+IF(OR(Charges!J104="",AND(ISNUMBER(Charges!J104),Charges!J104&gt;=0),Charges!J104="S",Charges!J104="M",Charges!J104="L",Charges!J104="XL"),0,1)+IF(OR(Charges!K104="",AND(ISNUMBER(Charges!K104),Charges!K104&gt;=0),Charges!K104="S",Charges!K104="M",Charges!K104="L",Charges!K104="XL"),0,1)+IF(OR(Charges!L104="",AND(ISNUMBER(Charges!L104),Charges!L104&gt;=0),Charges!L104="S",Charges!L104="M",Charges!L104="L",Charges!L104="XL"),0,1)+IF(OR(Charges!M104="",AND(ISNUMBER(Charges!M104),Charges!M104&gt;=0),Charges!M104="S",Charges!M104="M",Charges!M104="L",Charges!M104="XL"),0,1)+IF(OR(Charges!N104="",AND(ISNUMBER(Charges!N104),Charges!N104&gt;=0),Charges!N104="S",Charges!N104="M",Charges!N104="L",Charges!N104="XL"),0,1)+IF(OR(Charges!O104="",AND(ISNUMBER(Charges!O104),Charges!O104&gt;=0),Charges!O104="S",Charges!O104="M",Charges!O104="L",Charges!O104="XL"),0,1)+IF(OR(Charges!P104="",AND(ISNUMBER(Charges!P104),Charges!P104&gt;=0),Charges!P104="S",Charges!P104="M",Charges!P104="L",Charges!P104="XL"),0,1)+IF(OR(Charges!Q104="",AND(ISNUMBER(Charges!Q104),Charges!Q104&gt;=0),Charges!Q104="S",Charges!Q104="M",Charges!Q104="L",Charges!Q104="XL"),0,1)+IF(OR(Charges!R104="",AND(ISNUMBER(Charges!R104),Charges!R104&gt;=0),Charges!R104="S",Charges!R104="M",Charges!R104="L",Charges!R104="XL"),0,1)</f>
        <v>0</v>
      </c>
      <c r="U104" t="n">
        <f>IF(AND(1&gt;Paramètres!$B$9,Charges!F104&lt;&gt;"",Charges!F104&lt;&gt;0),1,0)+IF(AND(2&gt;Paramètres!$B$9,Charges!G104&lt;&gt;"",Charges!G104&lt;&gt;0),1,0)+IF(AND(3&gt;Paramètres!$B$9,Charges!H104&lt;&gt;"",Charges!H104&lt;&gt;0),1,0)+IF(AND(4&gt;Paramètres!$B$9,Charges!I104&lt;&gt;"",Charges!I104&lt;&gt;0),1,0)+IF(AND(5&gt;Paramètres!$B$9,Charges!J104&lt;&gt;"",Charges!J104&lt;&gt;0),1,0)+IF(AND(6&gt;Paramètres!$B$9,Charges!K104&lt;&gt;"",Charges!K104&lt;&gt;0),1,0)+IF(AND(7&gt;Paramètres!$B$9,Charges!L104&lt;&gt;"",Charges!L104&lt;&gt;0),1,0)+IF(AND(8&gt;Paramètres!$B$9,Charges!M104&lt;&gt;"",Charges!M104&lt;&gt;0),1,0)+IF(AND(9&gt;Paramètres!$B$9,Charges!N104&lt;&gt;"",Charges!N104&lt;&gt;0),1,0)+IF(AND(10&gt;Paramètres!$B$9,Charges!O104&lt;&gt;"",Charges!O104&lt;&gt;0),1,0)+IF(AND(11&gt;Paramètres!$B$9,Charges!P104&lt;&gt;"",Charges!P104&lt;&gt;0),1,0)+IF(AND(12&gt;Paramètres!$B$9,Charges!Q104&lt;&gt;"",Charges!Q104&lt;&gt;0),1,0)+IF(AND(13&gt;Paramètres!$B$9,Charges!R104&lt;&gt;"",Charges!R104&lt;&gt;0),1,0)</f>
        <v>0</v>
      </c>
      <c r="V104" t="n">
        <f>IF(IFERROR(VLOOKUP(A104,'Projets'!$A$8:$Z$67,5,FALSE),"")="Engager",1,0)</f>
        <v>0</v>
      </c>
      <c r="W104" t="n">
        <f>IF(IFERROR(VLOOKUP(A104,'Projets'!$A$8:$Z$67,6,FALSE),"")="Engager",1,0)</f>
        <v>0</v>
      </c>
      <c r="X104" t="n">
        <f>E104*S104</f>
        <v>0</v>
      </c>
      <c r="Y104" t="n">
        <f>F104*S104</f>
        <v>0</v>
      </c>
      <c r="Z104" t="n">
        <f>G104*S104</f>
        <v>0</v>
      </c>
      <c r="AA104" t="n">
        <f>H104*S104</f>
        <v>0</v>
      </c>
      <c r="AB104" t="n">
        <f>I104*S104</f>
        <v>0</v>
      </c>
      <c r="AC104" t="n">
        <f>J104*S104</f>
        <v>0</v>
      </c>
      <c r="AD104" t="n">
        <f>K104*S104</f>
        <v>0</v>
      </c>
      <c r="AE104" t="n">
        <f>L104*S104</f>
        <v>0</v>
      </c>
      <c r="AF104" t="n">
        <f>M104*S104</f>
        <v>0</v>
      </c>
      <c r="AG104" t="n">
        <f>N104*S104</f>
        <v>0</v>
      </c>
      <c r="AH104" t="n">
        <f>O104*S104</f>
        <v>0</v>
      </c>
      <c r="AI104" t="n">
        <f>P104*S104</f>
        <v>0</v>
      </c>
      <c r="AJ104" t="n">
        <f>Q104*S104</f>
        <v>0</v>
      </c>
      <c r="AK104" t="n">
        <f>E104*V104</f>
        <v>0</v>
      </c>
      <c r="AL104" t="n">
        <f>F104*V104</f>
        <v>0</v>
      </c>
      <c r="AM104" t="n">
        <f>G104*V104</f>
        <v>0</v>
      </c>
      <c r="AN104" t="n">
        <f>H104*V104</f>
        <v>0</v>
      </c>
      <c r="AO104" t="n">
        <f>I104*V104</f>
        <v>0</v>
      </c>
      <c r="AP104" t="n">
        <f>J104*V104</f>
        <v>0</v>
      </c>
      <c r="AQ104" t="n">
        <f>K104*V104</f>
        <v>0</v>
      </c>
      <c r="AR104" t="n">
        <f>L104*V104</f>
        <v>0</v>
      </c>
      <c r="AS104" t="n">
        <f>M104*V104</f>
        <v>0</v>
      </c>
      <c r="AT104" t="n">
        <f>N104*V104</f>
        <v>0</v>
      </c>
      <c r="AU104" t="n">
        <f>O104*V104</f>
        <v>0</v>
      </c>
      <c r="AV104" t="n">
        <f>P104*V104</f>
        <v>0</v>
      </c>
      <c r="AW104" t="n">
        <f>Q104*V104</f>
        <v>0</v>
      </c>
      <c r="AX104" t="n">
        <f>E104*W104</f>
        <v>0</v>
      </c>
      <c r="AY104" t="n">
        <f>F104*W104</f>
        <v>0</v>
      </c>
      <c r="AZ104" t="n">
        <f>G104*W104</f>
        <v>0</v>
      </c>
      <c r="BA104" t="n">
        <f>H104*W104</f>
        <v>0</v>
      </c>
      <c r="BB104" t="n">
        <f>I104*W104</f>
        <v>0</v>
      </c>
      <c r="BC104" t="n">
        <f>J104*W104</f>
        <v>0</v>
      </c>
      <c r="BD104" t="n">
        <f>K104*W104</f>
        <v>0</v>
      </c>
      <c r="BE104" t="n">
        <f>L104*W104</f>
        <v>0</v>
      </c>
      <c r="BF104" t="n">
        <f>M104*W104</f>
        <v>0</v>
      </c>
      <c r="BG104" t="n">
        <f>N104*W104</f>
        <v>0</v>
      </c>
      <c r="BH104" t="n">
        <f>O104*W104</f>
        <v>0</v>
      </c>
      <c r="BI104" t="n">
        <f>P104*W104</f>
        <v>0</v>
      </c>
      <c r="BJ104" t="n">
        <f>Q104*W104</f>
        <v>0</v>
      </c>
    </row>
    <row r="105">
      <c r="A105" t="n">
        <f>Charges!A105</f>
        <v>0</v>
      </c>
      <c r="B105" t="n">
        <f>Charges!C105</f>
        <v>0</v>
      </c>
      <c r="C105" t="str">
        <f>Charges!D105</f>
        <v/>
      </c>
      <c r="E105" t="n">
        <f>IF(1&lt;=Paramètres!$B$9,MAX(0,IFERROR(N(IF(ISNUMBER(Charges!F105),MAX(0,Charges!F105),IFERROR(VLOOKUP(Charges!F105,Paramètres!$A$15:$B$18,2,FALSE),0))),0)),0)</f>
        <v>0</v>
      </c>
      <c r="F105" t="n">
        <f>IF(2&lt;=Paramètres!$B$9,MAX(0,IFERROR(N(IF(ISNUMBER(Charges!G105),MAX(0,Charges!G105),IFERROR(VLOOKUP(Charges!G105,Paramètres!$A$15:$B$18,2,FALSE),0))),0)),0)</f>
        <v>0</v>
      </c>
      <c r="G105" t="n">
        <f>IF(3&lt;=Paramètres!$B$9,MAX(0,IFERROR(N(IF(ISNUMBER(Charges!H105),MAX(0,Charges!H105),IFERROR(VLOOKUP(Charges!H105,Paramètres!$A$15:$B$18,2,FALSE),0))),0)),0)</f>
        <v>0</v>
      </c>
      <c r="H105" t="n">
        <f>IF(4&lt;=Paramètres!$B$9,MAX(0,IFERROR(N(IF(ISNUMBER(Charges!I105),MAX(0,Charges!I105),IFERROR(VLOOKUP(Charges!I105,Paramètres!$A$15:$B$18,2,FALSE),0))),0)),0)</f>
        <v>0</v>
      </c>
      <c r="I105" t="n">
        <f>IF(5&lt;=Paramètres!$B$9,MAX(0,IFERROR(N(IF(ISNUMBER(Charges!J105),MAX(0,Charges!J105),IFERROR(VLOOKUP(Charges!J105,Paramètres!$A$15:$B$18,2,FALSE),0))),0)),0)</f>
        <v>0</v>
      </c>
      <c r="J105" t="n">
        <f>IF(6&lt;=Paramètres!$B$9,MAX(0,IFERROR(N(IF(ISNUMBER(Charges!K105),MAX(0,Charges!K105),IFERROR(VLOOKUP(Charges!K105,Paramètres!$A$15:$B$18,2,FALSE),0))),0)),0)</f>
        <v>0</v>
      </c>
      <c r="K105" t="n">
        <f>IF(7&lt;=Paramètres!$B$9,MAX(0,IFERROR(N(IF(ISNUMBER(Charges!L105),MAX(0,Charges!L105),IFERROR(VLOOKUP(Charges!L105,Paramètres!$A$15:$B$18,2,FALSE),0))),0)),0)</f>
        <v>0</v>
      </c>
      <c r="L105" t="n">
        <f>IF(8&lt;=Paramètres!$B$9,MAX(0,IFERROR(N(IF(ISNUMBER(Charges!M105),MAX(0,Charges!M105),IFERROR(VLOOKUP(Charges!M105,Paramètres!$A$15:$B$18,2,FALSE),0))),0)),0)</f>
        <v>0</v>
      </c>
      <c r="M105" t="n">
        <f>IF(9&lt;=Paramètres!$B$9,MAX(0,IFERROR(N(IF(ISNUMBER(Charges!N105),MAX(0,Charges!N105),IFERROR(VLOOKUP(Charges!N105,Paramètres!$A$15:$B$18,2,FALSE),0))),0)),0)</f>
        <v>0</v>
      </c>
      <c r="N105" t="n">
        <f>IF(10&lt;=Paramètres!$B$9,MAX(0,IFERROR(N(IF(ISNUMBER(Charges!O105),MAX(0,Charges!O105),IFERROR(VLOOKUP(Charges!O105,Paramètres!$A$15:$B$18,2,FALSE),0))),0)),0)</f>
        <v>0</v>
      </c>
      <c r="O105" t="n">
        <f>IF(11&lt;=Paramètres!$B$9,MAX(0,IFERROR(N(IF(ISNUMBER(Charges!P105),MAX(0,Charges!P105),IFERROR(VLOOKUP(Charges!P105,Paramètres!$A$15:$B$18,2,FALSE),0))),0)),0)</f>
        <v>0</v>
      </c>
      <c r="P105" t="n">
        <f>IF(12&lt;=Paramètres!$B$9,MAX(0,IFERROR(N(IF(ISNUMBER(Charges!Q105),MAX(0,Charges!Q105),IFERROR(VLOOKUP(Charges!Q105,Paramètres!$A$15:$B$18,2,FALSE),0))),0)),0)</f>
        <v>0</v>
      </c>
      <c r="Q105" t="n">
        <f>IF(13&lt;=Paramètres!$B$9,MAX(0,IFERROR(N(IF(ISNUMBER(Charges!R105),MAX(0,Charges!R105),IFERROR(VLOOKUP(Charges!R105,Paramètres!$A$15:$B$18,2,FALSE),0))),0)),0)</f>
        <v>0</v>
      </c>
      <c r="R105" t="n">
        <f>SUM(E105:Q105)</f>
        <v>0</v>
      </c>
      <c r="S105" t="n">
        <f>IF(IFERROR(VLOOKUP(A105,'Projets'!$A$8:$Z$67,7,FALSE),"")="Engager",1,0)</f>
        <v>0</v>
      </c>
      <c r="T105" t="n">
        <f>IF(OR(Charges!F105="",AND(ISNUMBER(Charges!F105),Charges!F105&gt;=0),Charges!F105="S",Charges!F105="M",Charges!F105="L",Charges!F105="XL"),0,1)+IF(OR(Charges!G105="",AND(ISNUMBER(Charges!G105),Charges!G105&gt;=0),Charges!G105="S",Charges!G105="M",Charges!G105="L",Charges!G105="XL"),0,1)+IF(OR(Charges!H105="",AND(ISNUMBER(Charges!H105),Charges!H105&gt;=0),Charges!H105="S",Charges!H105="M",Charges!H105="L",Charges!H105="XL"),0,1)+IF(OR(Charges!I105="",AND(ISNUMBER(Charges!I105),Charges!I105&gt;=0),Charges!I105="S",Charges!I105="M",Charges!I105="L",Charges!I105="XL"),0,1)+IF(OR(Charges!J105="",AND(ISNUMBER(Charges!J105),Charges!J105&gt;=0),Charges!J105="S",Charges!J105="M",Charges!J105="L",Charges!J105="XL"),0,1)+IF(OR(Charges!K105="",AND(ISNUMBER(Charges!K105),Charges!K105&gt;=0),Charges!K105="S",Charges!K105="M",Charges!K105="L",Charges!K105="XL"),0,1)+IF(OR(Charges!L105="",AND(ISNUMBER(Charges!L105),Charges!L105&gt;=0),Charges!L105="S",Charges!L105="M",Charges!L105="L",Charges!L105="XL"),0,1)+IF(OR(Charges!M105="",AND(ISNUMBER(Charges!M105),Charges!M105&gt;=0),Charges!M105="S",Charges!M105="M",Charges!M105="L",Charges!M105="XL"),0,1)+IF(OR(Charges!N105="",AND(ISNUMBER(Charges!N105),Charges!N105&gt;=0),Charges!N105="S",Charges!N105="M",Charges!N105="L",Charges!N105="XL"),0,1)+IF(OR(Charges!O105="",AND(ISNUMBER(Charges!O105),Charges!O105&gt;=0),Charges!O105="S",Charges!O105="M",Charges!O105="L",Charges!O105="XL"),0,1)+IF(OR(Charges!P105="",AND(ISNUMBER(Charges!P105),Charges!P105&gt;=0),Charges!P105="S",Charges!P105="M",Charges!P105="L",Charges!P105="XL"),0,1)+IF(OR(Charges!Q105="",AND(ISNUMBER(Charges!Q105),Charges!Q105&gt;=0),Charges!Q105="S",Charges!Q105="M",Charges!Q105="L",Charges!Q105="XL"),0,1)+IF(OR(Charges!R105="",AND(ISNUMBER(Charges!R105),Charges!R105&gt;=0),Charges!R105="S",Charges!R105="M",Charges!R105="L",Charges!R105="XL"),0,1)</f>
        <v>0</v>
      </c>
      <c r="U105" t="n">
        <f>IF(AND(1&gt;Paramètres!$B$9,Charges!F105&lt;&gt;"",Charges!F105&lt;&gt;0),1,0)+IF(AND(2&gt;Paramètres!$B$9,Charges!G105&lt;&gt;"",Charges!G105&lt;&gt;0),1,0)+IF(AND(3&gt;Paramètres!$B$9,Charges!H105&lt;&gt;"",Charges!H105&lt;&gt;0),1,0)+IF(AND(4&gt;Paramètres!$B$9,Charges!I105&lt;&gt;"",Charges!I105&lt;&gt;0),1,0)+IF(AND(5&gt;Paramètres!$B$9,Charges!J105&lt;&gt;"",Charges!J105&lt;&gt;0),1,0)+IF(AND(6&gt;Paramètres!$B$9,Charges!K105&lt;&gt;"",Charges!K105&lt;&gt;0),1,0)+IF(AND(7&gt;Paramètres!$B$9,Charges!L105&lt;&gt;"",Charges!L105&lt;&gt;0),1,0)+IF(AND(8&gt;Paramètres!$B$9,Charges!M105&lt;&gt;"",Charges!M105&lt;&gt;0),1,0)+IF(AND(9&gt;Paramètres!$B$9,Charges!N105&lt;&gt;"",Charges!N105&lt;&gt;0),1,0)+IF(AND(10&gt;Paramètres!$B$9,Charges!O105&lt;&gt;"",Charges!O105&lt;&gt;0),1,0)+IF(AND(11&gt;Paramètres!$B$9,Charges!P105&lt;&gt;"",Charges!P105&lt;&gt;0),1,0)+IF(AND(12&gt;Paramètres!$B$9,Charges!Q105&lt;&gt;"",Charges!Q105&lt;&gt;0),1,0)+IF(AND(13&gt;Paramètres!$B$9,Charges!R105&lt;&gt;"",Charges!R105&lt;&gt;0),1,0)</f>
        <v>0</v>
      </c>
      <c r="V105" t="n">
        <f>IF(IFERROR(VLOOKUP(A105,'Projets'!$A$8:$Z$67,5,FALSE),"")="Engager",1,0)</f>
        <v>0</v>
      </c>
      <c r="W105" t="n">
        <f>IF(IFERROR(VLOOKUP(A105,'Projets'!$A$8:$Z$67,6,FALSE),"")="Engager",1,0)</f>
        <v>0</v>
      </c>
      <c r="X105" t="n">
        <f>E105*S105</f>
        <v>0</v>
      </c>
      <c r="Y105" t="n">
        <f>F105*S105</f>
        <v>0</v>
      </c>
      <c r="Z105" t="n">
        <f>G105*S105</f>
        <v>0</v>
      </c>
      <c r="AA105" t="n">
        <f>H105*S105</f>
        <v>0</v>
      </c>
      <c r="AB105" t="n">
        <f>I105*S105</f>
        <v>0</v>
      </c>
      <c r="AC105" t="n">
        <f>J105*S105</f>
        <v>0</v>
      </c>
      <c r="AD105" t="n">
        <f>K105*S105</f>
        <v>0</v>
      </c>
      <c r="AE105" t="n">
        <f>L105*S105</f>
        <v>0</v>
      </c>
      <c r="AF105" t="n">
        <f>M105*S105</f>
        <v>0</v>
      </c>
      <c r="AG105" t="n">
        <f>N105*S105</f>
        <v>0</v>
      </c>
      <c r="AH105" t="n">
        <f>O105*S105</f>
        <v>0</v>
      </c>
      <c r="AI105" t="n">
        <f>P105*S105</f>
        <v>0</v>
      </c>
      <c r="AJ105" t="n">
        <f>Q105*S105</f>
        <v>0</v>
      </c>
      <c r="AK105" t="n">
        <f>E105*V105</f>
        <v>0</v>
      </c>
      <c r="AL105" t="n">
        <f>F105*V105</f>
        <v>0</v>
      </c>
      <c r="AM105" t="n">
        <f>G105*V105</f>
        <v>0</v>
      </c>
      <c r="AN105" t="n">
        <f>H105*V105</f>
        <v>0</v>
      </c>
      <c r="AO105" t="n">
        <f>I105*V105</f>
        <v>0</v>
      </c>
      <c r="AP105" t="n">
        <f>J105*V105</f>
        <v>0</v>
      </c>
      <c r="AQ105" t="n">
        <f>K105*V105</f>
        <v>0</v>
      </c>
      <c r="AR105" t="n">
        <f>L105*V105</f>
        <v>0</v>
      </c>
      <c r="AS105" t="n">
        <f>M105*V105</f>
        <v>0</v>
      </c>
      <c r="AT105" t="n">
        <f>N105*V105</f>
        <v>0</v>
      </c>
      <c r="AU105" t="n">
        <f>O105*V105</f>
        <v>0</v>
      </c>
      <c r="AV105" t="n">
        <f>P105*V105</f>
        <v>0</v>
      </c>
      <c r="AW105" t="n">
        <f>Q105*V105</f>
        <v>0</v>
      </c>
      <c r="AX105" t="n">
        <f>E105*W105</f>
        <v>0</v>
      </c>
      <c r="AY105" t="n">
        <f>F105*W105</f>
        <v>0</v>
      </c>
      <c r="AZ105" t="n">
        <f>G105*W105</f>
        <v>0</v>
      </c>
      <c r="BA105" t="n">
        <f>H105*W105</f>
        <v>0</v>
      </c>
      <c r="BB105" t="n">
        <f>I105*W105</f>
        <v>0</v>
      </c>
      <c r="BC105" t="n">
        <f>J105*W105</f>
        <v>0</v>
      </c>
      <c r="BD105" t="n">
        <f>K105*W105</f>
        <v>0</v>
      </c>
      <c r="BE105" t="n">
        <f>L105*W105</f>
        <v>0</v>
      </c>
      <c r="BF105" t="n">
        <f>M105*W105</f>
        <v>0</v>
      </c>
      <c r="BG105" t="n">
        <f>N105*W105</f>
        <v>0</v>
      </c>
      <c r="BH105" t="n">
        <f>O105*W105</f>
        <v>0</v>
      </c>
      <c r="BI105" t="n">
        <f>P105*W105</f>
        <v>0</v>
      </c>
      <c r="BJ105" t="n">
        <f>Q105*W105</f>
        <v>0</v>
      </c>
    </row>
    <row r="106">
      <c r="A106" t="n">
        <f>Charges!A106</f>
        <v>0</v>
      </c>
      <c r="B106" t="n">
        <f>Charges!C106</f>
        <v>0</v>
      </c>
      <c r="C106" t="str">
        <f>Charges!D106</f>
        <v/>
      </c>
      <c r="E106" t="n">
        <f>IF(1&lt;=Paramètres!$B$9,MAX(0,IFERROR(N(IF(ISNUMBER(Charges!F106),MAX(0,Charges!F106),IFERROR(VLOOKUP(Charges!F106,Paramètres!$A$15:$B$18,2,FALSE),0))),0)),0)</f>
        <v>0</v>
      </c>
      <c r="F106" t="n">
        <f>IF(2&lt;=Paramètres!$B$9,MAX(0,IFERROR(N(IF(ISNUMBER(Charges!G106),MAX(0,Charges!G106),IFERROR(VLOOKUP(Charges!G106,Paramètres!$A$15:$B$18,2,FALSE),0))),0)),0)</f>
        <v>0</v>
      </c>
      <c r="G106" t="n">
        <f>IF(3&lt;=Paramètres!$B$9,MAX(0,IFERROR(N(IF(ISNUMBER(Charges!H106),MAX(0,Charges!H106),IFERROR(VLOOKUP(Charges!H106,Paramètres!$A$15:$B$18,2,FALSE),0))),0)),0)</f>
        <v>0</v>
      </c>
      <c r="H106" t="n">
        <f>IF(4&lt;=Paramètres!$B$9,MAX(0,IFERROR(N(IF(ISNUMBER(Charges!I106),MAX(0,Charges!I106),IFERROR(VLOOKUP(Charges!I106,Paramètres!$A$15:$B$18,2,FALSE),0))),0)),0)</f>
        <v>0</v>
      </c>
      <c r="I106" t="n">
        <f>IF(5&lt;=Paramètres!$B$9,MAX(0,IFERROR(N(IF(ISNUMBER(Charges!J106),MAX(0,Charges!J106),IFERROR(VLOOKUP(Charges!J106,Paramètres!$A$15:$B$18,2,FALSE),0))),0)),0)</f>
        <v>0</v>
      </c>
      <c r="J106" t="n">
        <f>IF(6&lt;=Paramètres!$B$9,MAX(0,IFERROR(N(IF(ISNUMBER(Charges!K106),MAX(0,Charges!K106),IFERROR(VLOOKUP(Charges!K106,Paramètres!$A$15:$B$18,2,FALSE),0))),0)),0)</f>
        <v>0</v>
      </c>
      <c r="K106" t="n">
        <f>IF(7&lt;=Paramètres!$B$9,MAX(0,IFERROR(N(IF(ISNUMBER(Charges!L106),MAX(0,Charges!L106),IFERROR(VLOOKUP(Charges!L106,Paramètres!$A$15:$B$18,2,FALSE),0))),0)),0)</f>
        <v>0</v>
      </c>
      <c r="L106" t="n">
        <f>IF(8&lt;=Paramètres!$B$9,MAX(0,IFERROR(N(IF(ISNUMBER(Charges!M106),MAX(0,Charges!M106),IFERROR(VLOOKUP(Charges!M106,Paramètres!$A$15:$B$18,2,FALSE),0))),0)),0)</f>
        <v>0</v>
      </c>
      <c r="M106" t="n">
        <f>IF(9&lt;=Paramètres!$B$9,MAX(0,IFERROR(N(IF(ISNUMBER(Charges!N106),MAX(0,Charges!N106),IFERROR(VLOOKUP(Charges!N106,Paramètres!$A$15:$B$18,2,FALSE),0))),0)),0)</f>
        <v>0</v>
      </c>
      <c r="N106" t="n">
        <f>IF(10&lt;=Paramètres!$B$9,MAX(0,IFERROR(N(IF(ISNUMBER(Charges!O106),MAX(0,Charges!O106),IFERROR(VLOOKUP(Charges!O106,Paramètres!$A$15:$B$18,2,FALSE),0))),0)),0)</f>
        <v>0</v>
      </c>
      <c r="O106" t="n">
        <f>IF(11&lt;=Paramètres!$B$9,MAX(0,IFERROR(N(IF(ISNUMBER(Charges!P106),MAX(0,Charges!P106),IFERROR(VLOOKUP(Charges!P106,Paramètres!$A$15:$B$18,2,FALSE),0))),0)),0)</f>
        <v>0</v>
      </c>
      <c r="P106" t="n">
        <f>IF(12&lt;=Paramètres!$B$9,MAX(0,IFERROR(N(IF(ISNUMBER(Charges!Q106),MAX(0,Charges!Q106),IFERROR(VLOOKUP(Charges!Q106,Paramètres!$A$15:$B$18,2,FALSE),0))),0)),0)</f>
        <v>0</v>
      </c>
      <c r="Q106" t="n">
        <f>IF(13&lt;=Paramètres!$B$9,MAX(0,IFERROR(N(IF(ISNUMBER(Charges!R106),MAX(0,Charges!R106),IFERROR(VLOOKUP(Charges!R106,Paramètres!$A$15:$B$18,2,FALSE),0))),0)),0)</f>
        <v>0</v>
      </c>
      <c r="R106" t="n">
        <f>SUM(E106:Q106)</f>
        <v>0</v>
      </c>
      <c r="S106" t="n">
        <f>IF(IFERROR(VLOOKUP(A106,'Projets'!$A$8:$Z$67,7,FALSE),"")="Engager",1,0)</f>
        <v>0</v>
      </c>
      <c r="T106" t="n">
        <f>IF(OR(Charges!F106="",AND(ISNUMBER(Charges!F106),Charges!F106&gt;=0),Charges!F106="S",Charges!F106="M",Charges!F106="L",Charges!F106="XL"),0,1)+IF(OR(Charges!G106="",AND(ISNUMBER(Charges!G106),Charges!G106&gt;=0),Charges!G106="S",Charges!G106="M",Charges!G106="L",Charges!G106="XL"),0,1)+IF(OR(Charges!H106="",AND(ISNUMBER(Charges!H106),Charges!H106&gt;=0),Charges!H106="S",Charges!H106="M",Charges!H106="L",Charges!H106="XL"),0,1)+IF(OR(Charges!I106="",AND(ISNUMBER(Charges!I106),Charges!I106&gt;=0),Charges!I106="S",Charges!I106="M",Charges!I106="L",Charges!I106="XL"),0,1)+IF(OR(Charges!J106="",AND(ISNUMBER(Charges!J106),Charges!J106&gt;=0),Charges!J106="S",Charges!J106="M",Charges!J106="L",Charges!J106="XL"),0,1)+IF(OR(Charges!K106="",AND(ISNUMBER(Charges!K106),Charges!K106&gt;=0),Charges!K106="S",Charges!K106="M",Charges!K106="L",Charges!K106="XL"),0,1)+IF(OR(Charges!L106="",AND(ISNUMBER(Charges!L106),Charges!L106&gt;=0),Charges!L106="S",Charges!L106="M",Charges!L106="L",Charges!L106="XL"),0,1)+IF(OR(Charges!M106="",AND(ISNUMBER(Charges!M106),Charges!M106&gt;=0),Charges!M106="S",Charges!M106="M",Charges!M106="L",Charges!M106="XL"),0,1)+IF(OR(Charges!N106="",AND(ISNUMBER(Charges!N106),Charges!N106&gt;=0),Charges!N106="S",Charges!N106="M",Charges!N106="L",Charges!N106="XL"),0,1)+IF(OR(Charges!O106="",AND(ISNUMBER(Charges!O106),Charges!O106&gt;=0),Charges!O106="S",Charges!O106="M",Charges!O106="L",Charges!O106="XL"),0,1)+IF(OR(Charges!P106="",AND(ISNUMBER(Charges!P106),Charges!P106&gt;=0),Charges!P106="S",Charges!P106="M",Charges!P106="L",Charges!P106="XL"),0,1)+IF(OR(Charges!Q106="",AND(ISNUMBER(Charges!Q106),Charges!Q106&gt;=0),Charges!Q106="S",Charges!Q106="M",Charges!Q106="L",Charges!Q106="XL"),0,1)+IF(OR(Charges!R106="",AND(ISNUMBER(Charges!R106),Charges!R106&gt;=0),Charges!R106="S",Charges!R106="M",Charges!R106="L",Charges!R106="XL"),0,1)</f>
        <v>0</v>
      </c>
      <c r="U106" t="n">
        <f>IF(AND(1&gt;Paramètres!$B$9,Charges!F106&lt;&gt;"",Charges!F106&lt;&gt;0),1,0)+IF(AND(2&gt;Paramètres!$B$9,Charges!G106&lt;&gt;"",Charges!G106&lt;&gt;0),1,0)+IF(AND(3&gt;Paramètres!$B$9,Charges!H106&lt;&gt;"",Charges!H106&lt;&gt;0),1,0)+IF(AND(4&gt;Paramètres!$B$9,Charges!I106&lt;&gt;"",Charges!I106&lt;&gt;0),1,0)+IF(AND(5&gt;Paramètres!$B$9,Charges!J106&lt;&gt;"",Charges!J106&lt;&gt;0),1,0)+IF(AND(6&gt;Paramètres!$B$9,Charges!K106&lt;&gt;"",Charges!K106&lt;&gt;0),1,0)+IF(AND(7&gt;Paramètres!$B$9,Charges!L106&lt;&gt;"",Charges!L106&lt;&gt;0),1,0)+IF(AND(8&gt;Paramètres!$B$9,Charges!M106&lt;&gt;"",Charges!M106&lt;&gt;0),1,0)+IF(AND(9&gt;Paramètres!$B$9,Charges!N106&lt;&gt;"",Charges!N106&lt;&gt;0),1,0)+IF(AND(10&gt;Paramètres!$B$9,Charges!O106&lt;&gt;"",Charges!O106&lt;&gt;0),1,0)+IF(AND(11&gt;Paramètres!$B$9,Charges!P106&lt;&gt;"",Charges!P106&lt;&gt;0),1,0)+IF(AND(12&gt;Paramètres!$B$9,Charges!Q106&lt;&gt;"",Charges!Q106&lt;&gt;0),1,0)+IF(AND(13&gt;Paramètres!$B$9,Charges!R106&lt;&gt;"",Charges!R106&lt;&gt;0),1,0)</f>
        <v>0</v>
      </c>
      <c r="V106" t="n">
        <f>IF(IFERROR(VLOOKUP(A106,'Projets'!$A$8:$Z$67,5,FALSE),"")="Engager",1,0)</f>
        <v>0</v>
      </c>
      <c r="W106" t="n">
        <f>IF(IFERROR(VLOOKUP(A106,'Projets'!$A$8:$Z$67,6,FALSE),"")="Engager",1,0)</f>
        <v>0</v>
      </c>
      <c r="X106" t="n">
        <f>E106*S106</f>
        <v>0</v>
      </c>
      <c r="Y106" t="n">
        <f>F106*S106</f>
        <v>0</v>
      </c>
      <c r="Z106" t="n">
        <f>G106*S106</f>
        <v>0</v>
      </c>
      <c r="AA106" t="n">
        <f>H106*S106</f>
        <v>0</v>
      </c>
      <c r="AB106" t="n">
        <f>I106*S106</f>
        <v>0</v>
      </c>
      <c r="AC106" t="n">
        <f>J106*S106</f>
        <v>0</v>
      </c>
      <c r="AD106" t="n">
        <f>K106*S106</f>
        <v>0</v>
      </c>
      <c r="AE106" t="n">
        <f>L106*S106</f>
        <v>0</v>
      </c>
      <c r="AF106" t="n">
        <f>M106*S106</f>
        <v>0</v>
      </c>
      <c r="AG106" t="n">
        <f>N106*S106</f>
        <v>0</v>
      </c>
      <c r="AH106" t="n">
        <f>O106*S106</f>
        <v>0</v>
      </c>
      <c r="AI106" t="n">
        <f>P106*S106</f>
        <v>0</v>
      </c>
      <c r="AJ106" t="n">
        <f>Q106*S106</f>
        <v>0</v>
      </c>
      <c r="AK106" t="n">
        <f>E106*V106</f>
        <v>0</v>
      </c>
      <c r="AL106" t="n">
        <f>F106*V106</f>
        <v>0</v>
      </c>
      <c r="AM106" t="n">
        <f>G106*V106</f>
        <v>0</v>
      </c>
      <c r="AN106" t="n">
        <f>H106*V106</f>
        <v>0</v>
      </c>
      <c r="AO106" t="n">
        <f>I106*V106</f>
        <v>0</v>
      </c>
      <c r="AP106" t="n">
        <f>J106*V106</f>
        <v>0</v>
      </c>
      <c r="AQ106" t="n">
        <f>K106*V106</f>
        <v>0</v>
      </c>
      <c r="AR106" t="n">
        <f>L106*V106</f>
        <v>0</v>
      </c>
      <c r="AS106" t="n">
        <f>M106*V106</f>
        <v>0</v>
      </c>
      <c r="AT106" t="n">
        <f>N106*V106</f>
        <v>0</v>
      </c>
      <c r="AU106" t="n">
        <f>O106*V106</f>
        <v>0</v>
      </c>
      <c r="AV106" t="n">
        <f>P106*V106</f>
        <v>0</v>
      </c>
      <c r="AW106" t="n">
        <f>Q106*V106</f>
        <v>0</v>
      </c>
      <c r="AX106" t="n">
        <f>E106*W106</f>
        <v>0</v>
      </c>
      <c r="AY106" t="n">
        <f>F106*W106</f>
        <v>0</v>
      </c>
      <c r="AZ106" t="n">
        <f>G106*W106</f>
        <v>0</v>
      </c>
      <c r="BA106" t="n">
        <f>H106*W106</f>
        <v>0</v>
      </c>
      <c r="BB106" t="n">
        <f>I106*W106</f>
        <v>0</v>
      </c>
      <c r="BC106" t="n">
        <f>J106*W106</f>
        <v>0</v>
      </c>
      <c r="BD106" t="n">
        <f>K106*W106</f>
        <v>0</v>
      </c>
      <c r="BE106" t="n">
        <f>L106*W106</f>
        <v>0</v>
      </c>
      <c r="BF106" t="n">
        <f>M106*W106</f>
        <v>0</v>
      </c>
      <c r="BG106" t="n">
        <f>N106*W106</f>
        <v>0</v>
      </c>
      <c r="BH106" t="n">
        <f>O106*W106</f>
        <v>0</v>
      </c>
      <c r="BI106" t="n">
        <f>P106*W106</f>
        <v>0</v>
      </c>
      <c r="BJ106" t="n">
        <f>Q106*W106</f>
        <v>0</v>
      </c>
    </row>
    <row r="107">
      <c r="A107" t="n">
        <f>Charges!A107</f>
        <v>0</v>
      </c>
      <c r="B107" t="n">
        <f>Charges!C107</f>
        <v>0</v>
      </c>
      <c r="C107" t="str">
        <f>Charges!D107</f>
        <v/>
      </c>
      <c r="E107" t="n">
        <f>IF(1&lt;=Paramètres!$B$9,MAX(0,IFERROR(N(IF(ISNUMBER(Charges!F107),MAX(0,Charges!F107),IFERROR(VLOOKUP(Charges!F107,Paramètres!$A$15:$B$18,2,FALSE),0))),0)),0)</f>
        <v>0</v>
      </c>
      <c r="F107" t="n">
        <f>IF(2&lt;=Paramètres!$B$9,MAX(0,IFERROR(N(IF(ISNUMBER(Charges!G107),MAX(0,Charges!G107),IFERROR(VLOOKUP(Charges!G107,Paramètres!$A$15:$B$18,2,FALSE),0))),0)),0)</f>
        <v>0</v>
      </c>
      <c r="G107" t="n">
        <f>IF(3&lt;=Paramètres!$B$9,MAX(0,IFERROR(N(IF(ISNUMBER(Charges!H107),MAX(0,Charges!H107),IFERROR(VLOOKUP(Charges!H107,Paramètres!$A$15:$B$18,2,FALSE),0))),0)),0)</f>
        <v>0</v>
      </c>
      <c r="H107" t="n">
        <f>IF(4&lt;=Paramètres!$B$9,MAX(0,IFERROR(N(IF(ISNUMBER(Charges!I107),MAX(0,Charges!I107),IFERROR(VLOOKUP(Charges!I107,Paramètres!$A$15:$B$18,2,FALSE),0))),0)),0)</f>
        <v>0</v>
      </c>
      <c r="I107" t="n">
        <f>IF(5&lt;=Paramètres!$B$9,MAX(0,IFERROR(N(IF(ISNUMBER(Charges!J107),MAX(0,Charges!J107),IFERROR(VLOOKUP(Charges!J107,Paramètres!$A$15:$B$18,2,FALSE),0))),0)),0)</f>
        <v>0</v>
      </c>
      <c r="J107" t="n">
        <f>IF(6&lt;=Paramètres!$B$9,MAX(0,IFERROR(N(IF(ISNUMBER(Charges!K107),MAX(0,Charges!K107),IFERROR(VLOOKUP(Charges!K107,Paramètres!$A$15:$B$18,2,FALSE),0))),0)),0)</f>
        <v>0</v>
      </c>
      <c r="K107" t="n">
        <f>IF(7&lt;=Paramètres!$B$9,MAX(0,IFERROR(N(IF(ISNUMBER(Charges!L107),MAX(0,Charges!L107),IFERROR(VLOOKUP(Charges!L107,Paramètres!$A$15:$B$18,2,FALSE),0))),0)),0)</f>
        <v>0</v>
      </c>
      <c r="L107" t="n">
        <f>IF(8&lt;=Paramètres!$B$9,MAX(0,IFERROR(N(IF(ISNUMBER(Charges!M107),MAX(0,Charges!M107),IFERROR(VLOOKUP(Charges!M107,Paramètres!$A$15:$B$18,2,FALSE),0))),0)),0)</f>
        <v>0</v>
      </c>
      <c r="M107" t="n">
        <f>IF(9&lt;=Paramètres!$B$9,MAX(0,IFERROR(N(IF(ISNUMBER(Charges!N107),MAX(0,Charges!N107),IFERROR(VLOOKUP(Charges!N107,Paramètres!$A$15:$B$18,2,FALSE),0))),0)),0)</f>
        <v>0</v>
      </c>
      <c r="N107" t="n">
        <f>IF(10&lt;=Paramètres!$B$9,MAX(0,IFERROR(N(IF(ISNUMBER(Charges!O107),MAX(0,Charges!O107),IFERROR(VLOOKUP(Charges!O107,Paramètres!$A$15:$B$18,2,FALSE),0))),0)),0)</f>
        <v>0</v>
      </c>
      <c r="O107" t="n">
        <f>IF(11&lt;=Paramètres!$B$9,MAX(0,IFERROR(N(IF(ISNUMBER(Charges!P107),MAX(0,Charges!P107),IFERROR(VLOOKUP(Charges!P107,Paramètres!$A$15:$B$18,2,FALSE),0))),0)),0)</f>
        <v>0</v>
      </c>
      <c r="P107" t="n">
        <f>IF(12&lt;=Paramètres!$B$9,MAX(0,IFERROR(N(IF(ISNUMBER(Charges!Q107),MAX(0,Charges!Q107),IFERROR(VLOOKUP(Charges!Q107,Paramètres!$A$15:$B$18,2,FALSE),0))),0)),0)</f>
        <v>0</v>
      </c>
      <c r="Q107" t="n">
        <f>IF(13&lt;=Paramètres!$B$9,MAX(0,IFERROR(N(IF(ISNUMBER(Charges!R107),MAX(0,Charges!R107),IFERROR(VLOOKUP(Charges!R107,Paramètres!$A$15:$B$18,2,FALSE),0))),0)),0)</f>
        <v>0</v>
      </c>
      <c r="R107" t="n">
        <f>SUM(E107:Q107)</f>
        <v>0</v>
      </c>
      <c r="S107" t="n">
        <f>IF(IFERROR(VLOOKUP(A107,'Projets'!$A$8:$Z$67,7,FALSE),"")="Engager",1,0)</f>
        <v>0</v>
      </c>
      <c r="T107" t="n">
        <f>IF(OR(Charges!F107="",AND(ISNUMBER(Charges!F107),Charges!F107&gt;=0),Charges!F107="S",Charges!F107="M",Charges!F107="L",Charges!F107="XL"),0,1)+IF(OR(Charges!G107="",AND(ISNUMBER(Charges!G107),Charges!G107&gt;=0),Charges!G107="S",Charges!G107="M",Charges!G107="L",Charges!G107="XL"),0,1)+IF(OR(Charges!H107="",AND(ISNUMBER(Charges!H107),Charges!H107&gt;=0),Charges!H107="S",Charges!H107="M",Charges!H107="L",Charges!H107="XL"),0,1)+IF(OR(Charges!I107="",AND(ISNUMBER(Charges!I107),Charges!I107&gt;=0),Charges!I107="S",Charges!I107="M",Charges!I107="L",Charges!I107="XL"),0,1)+IF(OR(Charges!J107="",AND(ISNUMBER(Charges!J107),Charges!J107&gt;=0),Charges!J107="S",Charges!J107="M",Charges!J107="L",Charges!J107="XL"),0,1)+IF(OR(Charges!K107="",AND(ISNUMBER(Charges!K107),Charges!K107&gt;=0),Charges!K107="S",Charges!K107="M",Charges!K107="L",Charges!K107="XL"),0,1)+IF(OR(Charges!L107="",AND(ISNUMBER(Charges!L107),Charges!L107&gt;=0),Charges!L107="S",Charges!L107="M",Charges!L107="L",Charges!L107="XL"),0,1)+IF(OR(Charges!M107="",AND(ISNUMBER(Charges!M107),Charges!M107&gt;=0),Charges!M107="S",Charges!M107="M",Charges!M107="L",Charges!M107="XL"),0,1)+IF(OR(Charges!N107="",AND(ISNUMBER(Charges!N107),Charges!N107&gt;=0),Charges!N107="S",Charges!N107="M",Charges!N107="L",Charges!N107="XL"),0,1)+IF(OR(Charges!O107="",AND(ISNUMBER(Charges!O107),Charges!O107&gt;=0),Charges!O107="S",Charges!O107="M",Charges!O107="L",Charges!O107="XL"),0,1)+IF(OR(Charges!P107="",AND(ISNUMBER(Charges!P107),Charges!P107&gt;=0),Charges!P107="S",Charges!P107="M",Charges!P107="L",Charges!P107="XL"),0,1)+IF(OR(Charges!Q107="",AND(ISNUMBER(Charges!Q107),Charges!Q107&gt;=0),Charges!Q107="S",Charges!Q107="M",Charges!Q107="L",Charges!Q107="XL"),0,1)+IF(OR(Charges!R107="",AND(ISNUMBER(Charges!R107),Charges!R107&gt;=0),Charges!R107="S",Charges!R107="M",Charges!R107="L",Charges!R107="XL"),0,1)</f>
        <v>0</v>
      </c>
      <c r="U107" t="n">
        <f>IF(AND(1&gt;Paramètres!$B$9,Charges!F107&lt;&gt;"",Charges!F107&lt;&gt;0),1,0)+IF(AND(2&gt;Paramètres!$B$9,Charges!G107&lt;&gt;"",Charges!G107&lt;&gt;0),1,0)+IF(AND(3&gt;Paramètres!$B$9,Charges!H107&lt;&gt;"",Charges!H107&lt;&gt;0),1,0)+IF(AND(4&gt;Paramètres!$B$9,Charges!I107&lt;&gt;"",Charges!I107&lt;&gt;0),1,0)+IF(AND(5&gt;Paramètres!$B$9,Charges!J107&lt;&gt;"",Charges!J107&lt;&gt;0),1,0)+IF(AND(6&gt;Paramètres!$B$9,Charges!K107&lt;&gt;"",Charges!K107&lt;&gt;0),1,0)+IF(AND(7&gt;Paramètres!$B$9,Charges!L107&lt;&gt;"",Charges!L107&lt;&gt;0),1,0)+IF(AND(8&gt;Paramètres!$B$9,Charges!M107&lt;&gt;"",Charges!M107&lt;&gt;0),1,0)+IF(AND(9&gt;Paramètres!$B$9,Charges!N107&lt;&gt;"",Charges!N107&lt;&gt;0),1,0)+IF(AND(10&gt;Paramètres!$B$9,Charges!O107&lt;&gt;"",Charges!O107&lt;&gt;0),1,0)+IF(AND(11&gt;Paramètres!$B$9,Charges!P107&lt;&gt;"",Charges!P107&lt;&gt;0),1,0)+IF(AND(12&gt;Paramètres!$B$9,Charges!Q107&lt;&gt;"",Charges!Q107&lt;&gt;0),1,0)+IF(AND(13&gt;Paramètres!$B$9,Charges!R107&lt;&gt;"",Charges!R107&lt;&gt;0),1,0)</f>
        <v>0</v>
      </c>
      <c r="V107" t="n">
        <f>IF(IFERROR(VLOOKUP(A107,'Projets'!$A$8:$Z$67,5,FALSE),"")="Engager",1,0)</f>
        <v>0</v>
      </c>
      <c r="W107" t="n">
        <f>IF(IFERROR(VLOOKUP(A107,'Projets'!$A$8:$Z$67,6,FALSE),"")="Engager",1,0)</f>
        <v>0</v>
      </c>
      <c r="X107" t="n">
        <f>E107*S107</f>
        <v>0</v>
      </c>
      <c r="Y107" t="n">
        <f>F107*S107</f>
        <v>0</v>
      </c>
      <c r="Z107" t="n">
        <f>G107*S107</f>
        <v>0</v>
      </c>
      <c r="AA107" t="n">
        <f>H107*S107</f>
        <v>0</v>
      </c>
      <c r="AB107" t="n">
        <f>I107*S107</f>
        <v>0</v>
      </c>
      <c r="AC107" t="n">
        <f>J107*S107</f>
        <v>0</v>
      </c>
      <c r="AD107" t="n">
        <f>K107*S107</f>
        <v>0</v>
      </c>
      <c r="AE107" t="n">
        <f>L107*S107</f>
        <v>0</v>
      </c>
      <c r="AF107" t="n">
        <f>M107*S107</f>
        <v>0</v>
      </c>
      <c r="AG107" t="n">
        <f>N107*S107</f>
        <v>0</v>
      </c>
      <c r="AH107" t="n">
        <f>O107*S107</f>
        <v>0</v>
      </c>
      <c r="AI107" t="n">
        <f>P107*S107</f>
        <v>0</v>
      </c>
      <c r="AJ107" t="n">
        <f>Q107*S107</f>
        <v>0</v>
      </c>
      <c r="AK107" t="n">
        <f>E107*V107</f>
        <v>0</v>
      </c>
      <c r="AL107" t="n">
        <f>F107*V107</f>
        <v>0</v>
      </c>
      <c r="AM107" t="n">
        <f>G107*V107</f>
        <v>0</v>
      </c>
      <c r="AN107" t="n">
        <f>H107*V107</f>
        <v>0</v>
      </c>
      <c r="AO107" t="n">
        <f>I107*V107</f>
        <v>0</v>
      </c>
      <c r="AP107" t="n">
        <f>J107*V107</f>
        <v>0</v>
      </c>
      <c r="AQ107" t="n">
        <f>K107*V107</f>
        <v>0</v>
      </c>
      <c r="AR107" t="n">
        <f>L107*V107</f>
        <v>0</v>
      </c>
      <c r="AS107" t="n">
        <f>M107*V107</f>
        <v>0</v>
      </c>
      <c r="AT107" t="n">
        <f>N107*V107</f>
        <v>0</v>
      </c>
      <c r="AU107" t="n">
        <f>O107*V107</f>
        <v>0</v>
      </c>
      <c r="AV107" t="n">
        <f>P107*V107</f>
        <v>0</v>
      </c>
      <c r="AW107" t="n">
        <f>Q107*V107</f>
        <v>0</v>
      </c>
      <c r="AX107" t="n">
        <f>E107*W107</f>
        <v>0</v>
      </c>
      <c r="AY107" t="n">
        <f>F107*W107</f>
        <v>0</v>
      </c>
      <c r="AZ107" t="n">
        <f>G107*W107</f>
        <v>0</v>
      </c>
      <c r="BA107" t="n">
        <f>H107*W107</f>
        <v>0</v>
      </c>
      <c r="BB107" t="n">
        <f>I107*W107</f>
        <v>0</v>
      </c>
      <c r="BC107" t="n">
        <f>J107*W107</f>
        <v>0</v>
      </c>
      <c r="BD107" t="n">
        <f>K107*W107</f>
        <v>0</v>
      </c>
      <c r="BE107" t="n">
        <f>L107*W107</f>
        <v>0</v>
      </c>
      <c r="BF107" t="n">
        <f>M107*W107</f>
        <v>0</v>
      </c>
      <c r="BG107" t="n">
        <f>N107*W107</f>
        <v>0</v>
      </c>
      <c r="BH107" t="n">
        <f>O107*W107</f>
        <v>0</v>
      </c>
      <c r="BI107" t="n">
        <f>P107*W107</f>
        <v>0</v>
      </c>
      <c r="BJ107" t="n">
        <f>Q107*W107</f>
        <v>0</v>
      </c>
    </row>
    <row r="108">
      <c r="A108" t="n">
        <f>Charges!A108</f>
        <v>0</v>
      </c>
      <c r="B108" t="n">
        <f>Charges!C108</f>
        <v>0</v>
      </c>
      <c r="C108" t="str">
        <f>Charges!D108</f>
        <v/>
      </c>
      <c r="E108" t="n">
        <f>IF(1&lt;=Paramètres!$B$9,MAX(0,IFERROR(N(IF(ISNUMBER(Charges!F108),MAX(0,Charges!F108),IFERROR(VLOOKUP(Charges!F108,Paramètres!$A$15:$B$18,2,FALSE),0))),0)),0)</f>
        <v>0</v>
      </c>
      <c r="F108" t="n">
        <f>IF(2&lt;=Paramètres!$B$9,MAX(0,IFERROR(N(IF(ISNUMBER(Charges!G108),MAX(0,Charges!G108),IFERROR(VLOOKUP(Charges!G108,Paramètres!$A$15:$B$18,2,FALSE),0))),0)),0)</f>
        <v>0</v>
      </c>
      <c r="G108" t="n">
        <f>IF(3&lt;=Paramètres!$B$9,MAX(0,IFERROR(N(IF(ISNUMBER(Charges!H108),MAX(0,Charges!H108),IFERROR(VLOOKUP(Charges!H108,Paramètres!$A$15:$B$18,2,FALSE),0))),0)),0)</f>
        <v>0</v>
      </c>
      <c r="H108" t="n">
        <f>IF(4&lt;=Paramètres!$B$9,MAX(0,IFERROR(N(IF(ISNUMBER(Charges!I108),MAX(0,Charges!I108),IFERROR(VLOOKUP(Charges!I108,Paramètres!$A$15:$B$18,2,FALSE),0))),0)),0)</f>
        <v>0</v>
      </c>
      <c r="I108" t="n">
        <f>IF(5&lt;=Paramètres!$B$9,MAX(0,IFERROR(N(IF(ISNUMBER(Charges!J108),MAX(0,Charges!J108),IFERROR(VLOOKUP(Charges!J108,Paramètres!$A$15:$B$18,2,FALSE),0))),0)),0)</f>
        <v>0</v>
      </c>
      <c r="J108" t="n">
        <f>IF(6&lt;=Paramètres!$B$9,MAX(0,IFERROR(N(IF(ISNUMBER(Charges!K108),MAX(0,Charges!K108),IFERROR(VLOOKUP(Charges!K108,Paramètres!$A$15:$B$18,2,FALSE),0))),0)),0)</f>
        <v>0</v>
      </c>
      <c r="K108" t="n">
        <f>IF(7&lt;=Paramètres!$B$9,MAX(0,IFERROR(N(IF(ISNUMBER(Charges!L108),MAX(0,Charges!L108),IFERROR(VLOOKUP(Charges!L108,Paramètres!$A$15:$B$18,2,FALSE),0))),0)),0)</f>
        <v>0</v>
      </c>
      <c r="L108" t="n">
        <f>IF(8&lt;=Paramètres!$B$9,MAX(0,IFERROR(N(IF(ISNUMBER(Charges!M108),MAX(0,Charges!M108),IFERROR(VLOOKUP(Charges!M108,Paramètres!$A$15:$B$18,2,FALSE),0))),0)),0)</f>
        <v>0</v>
      </c>
      <c r="M108" t="n">
        <f>IF(9&lt;=Paramètres!$B$9,MAX(0,IFERROR(N(IF(ISNUMBER(Charges!N108),MAX(0,Charges!N108),IFERROR(VLOOKUP(Charges!N108,Paramètres!$A$15:$B$18,2,FALSE),0))),0)),0)</f>
        <v>0</v>
      </c>
      <c r="N108" t="n">
        <f>IF(10&lt;=Paramètres!$B$9,MAX(0,IFERROR(N(IF(ISNUMBER(Charges!O108),MAX(0,Charges!O108),IFERROR(VLOOKUP(Charges!O108,Paramètres!$A$15:$B$18,2,FALSE),0))),0)),0)</f>
        <v>0</v>
      </c>
      <c r="O108" t="n">
        <f>IF(11&lt;=Paramètres!$B$9,MAX(0,IFERROR(N(IF(ISNUMBER(Charges!P108),MAX(0,Charges!P108),IFERROR(VLOOKUP(Charges!P108,Paramètres!$A$15:$B$18,2,FALSE),0))),0)),0)</f>
        <v>0</v>
      </c>
      <c r="P108" t="n">
        <f>IF(12&lt;=Paramètres!$B$9,MAX(0,IFERROR(N(IF(ISNUMBER(Charges!Q108),MAX(0,Charges!Q108),IFERROR(VLOOKUP(Charges!Q108,Paramètres!$A$15:$B$18,2,FALSE),0))),0)),0)</f>
        <v>0</v>
      </c>
      <c r="Q108" t="n">
        <f>IF(13&lt;=Paramètres!$B$9,MAX(0,IFERROR(N(IF(ISNUMBER(Charges!R108),MAX(0,Charges!R108),IFERROR(VLOOKUP(Charges!R108,Paramètres!$A$15:$B$18,2,FALSE),0))),0)),0)</f>
        <v>0</v>
      </c>
      <c r="R108" t="n">
        <f>SUM(E108:Q108)</f>
        <v>0</v>
      </c>
      <c r="S108" t="n">
        <f>IF(IFERROR(VLOOKUP(A108,'Projets'!$A$8:$Z$67,7,FALSE),"")="Engager",1,0)</f>
        <v>0</v>
      </c>
      <c r="T108" t="n">
        <f>IF(OR(Charges!F108="",AND(ISNUMBER(Charges!F108),Charges!F108&gt;=0),Charges!F108="S",Charges!F108="M",Charges!F108="L",Charges!F108="XL"),0,1)+IF(OR(Charges!G108="",AND(ISNUMBER(Charges!G108),Charges!G108&gt;=0),Charges!G108="S",Charges!G108="M",Charges!G108="L",Charges!G108="XL"),0,1)+IF(OR(Charges!H108="",AND(ISNUMBER(Charges!H108),Charges!H108&gt;=0),Charges!H108="S",Charges!H108="M",Charges!H108="L",Charges!H108="XL"),0,1)+IF(OR(Charges!I108="",AND(ISNUMBER(Charges!I108),Charges!I108&gt;=0),Charges!I108="S",Charges!I108="M",Charges!I108="L",Charges!I108="XL"),0,1)+IF(OR(Charges!J108="",AND(ISNUMBER(Charges!J108),Charges!J108&gt;=0),Charges!J108="S",Charges!J108="M",Charges!J108="L",Charges!J108="XL"),0,1)+IF(OR(Charges!K108="",AND(ISNUMBER(Charges!K108),Charges!K108&gt;=0),Charges!K108="S",Charges!K108="M",Charges!K108="L",Charges!K108="XL"),0,1)+IF(OR(Charges!L108="",AND(ISNUMBER(Charges!L108),Charges!L108&gt;=0),Charges!L108="S",Charges!L108="M",Charges!L108="L",Charges!L108="XL"),0,1)+IF(OR(Charges!M108="",AND(ISNUMBER(Charges!M108),Charges!M108&gt;=0),Charges!M108="S",Charges!M108="M",Charges!M108="L",Charges!M108="XL"),0,1)+IF(OR(Charges!N108="",AND(ISNUMBER(Charges!N108),Charges!N108&gt;=0),Charges!N108="S",Charges!N108="M",Charges!N108="L",Charges!N108="XL"),0,1)+IF(OR(Charges!O108="",AND(ISNUMBER(Charges!O108),Charges!O108&gt;=0),Charges!O108="S",Charges!O108="M",Charges!O108="L",Charges!O108="XL"),0,1)+IF(OR(Charges!P108="",AND(ISNUMBER(Charges!P108),Charges!P108&gt;=0),Charges!P108="S",Charges!P108="M",Charges!P108="L",Charges!P108="XL"),0,1)+IF(OR(Charges!Q108="",AND(ISNUMBER(Charges!Q108),Charges!Q108&gt;=0),Charges!Q108="S",Charges!Q108="M",Charges!Q108="L",Charges!Q108="XL"),0,1)+IF(OR(Charges!R108="",AND(ISNUMBER(Charges!R108),Charges!R108&gt;=0),Charges!R108="S",Charges!R108="M",Charges!R108="L",Charges!R108="XL"),0,1)</f>
        <v>0</v>
      </c>
      <c r="U108" t="n">
        <f>IF(AND(1&gt;Paramètres!$B$9,Charges!F108&lt;&gt;"",Charges!F108&lt;&gt;0),1,0)+IF(AND(2&gt;Paramètres!$B$9,Charges!G108&lt;&gt;"",Charges!G108&lt;&gt;0),1,0)+IF(AND(3&gt;Paramètres!$B$9,Charges!H108&lt;&gt;"",Charges!H108&lt;&gt;0),1,0)+IF(AND(4&gt;Paramètres!$B$9,Charges!I108&lt;&gt;"",Charges!I108&lt;&gt;0),1,0)+IF(AND(5&gt;Paramètres!$B$9,Charges!J108&lt;&gt;"",Charges!J108&lt;&gt;0),1,0)+IF(AND(6&gt;Paramètres!$B$9,Charges!K108&lt;&gt;"",Charges!K108&lt;&gt;0),1,0)+IF(AND(7&gt;Paramètres!$B$9,Charges!L108&lt;&gt;"",Charges!L108&lt;&gt;0),1,0)+IF(AND(8&gt;Paramètres!$B$9,Charges!M108&lt;&gt;"",Charges!M108&lt;&gt;0),1,0)+IF(AND(9&gt;Paramètres!$B$9,Charges!N108&lt;&gt;"",Charges!N108&lt;&gt;0),1,0)+IF(AND(10&gt;Paramètres!$B$9,Charges!O108&lt;&gt;"",Charges!O108&lt;&gt;0),1,0)+IF(AND(11&gt;Paramètres!$B$9,Charges!P108&lt;&gt;"",Charges!P108&lt;&gt;0),1,0)+IF(AND(12&gt;Paramètres!$B$9,Charges!Q108&lt;&gt;"",Charges!Q108&lt;&gt;0),1,0)+IF(AND(13&gt;Paramètres!$B$9,Charges!R108&lt;&gt;"",Charges!R108&lt;&gt;0),1,0)</f>
        <v>0</v>
      </c>
      <c r="V108" t="n">
        <f>IF(IFERROR(VLOOKUP(A108,'Projets'!$A$8:$Z$67,5,FALSE),"")="Engager",1,0)</f>
        <v>0</v>
      </c>
      <c r="W108" t="n">
        <f>IF(IFERROR(VLOOKUP(A108,'Projets'!$A$8:$Z$67,6,FALSE),"")="Engager",1,0)</f>
        <v>0</v>
      </c>
      <c r="X108" t="n">
        <f>E108*S108</f>
        <v>0</v>
      </c>
      <c r="Y108" t="n">
        <f>F108*S108</f>
        <v>0</v>
      </c>
      <c r="Z108" t="n">
        <f>G108*S108</f>
        <v>0</v>
      </c>
      <c r="AA108" t="n">
        <f>H108*S108</f>
        <v>0</v>
      </c>
      <c r="AB108" t="n">
        <f>I108*S108</f>
        <v>0</v>
      </c>
      <c r="AC108" t="n">
        <f>J108*S108</f>
        <v>0</v>
      </c>
      <c r="AD108" t="n">
        <f>K108*S108</f>
        <v>0</v>
      </c>
      <c r="AE108" t="n">
        <f>L108*S108</f>
        <v>0</v>
      </c>
      <c r="AF108" t="n">
        <f>M108*S108</f>
        <v>0</v>
      </c>
      <c r="AG108" t="n">
        <f>N108*S108</f>
        <v>0</v>
      </c>
      <c r="AH108" t="n">
        <f>O108*S108</f>
        <v>0</v>
      </c>
      <c r="AI108" t="n">
        <f>P108*S108</f>
        <v>0</v>
      </c>
      <c r="AJ108" t="n">
        <f>Q108*S108</f>
        <v>0</v>
      </c>
      <c r="AK108" t="n">
        <f>E108*V108</f>
        <v>0</v>
      </c>
      <c r="AL108" t="n">
        <f>F108*V108</f>
        <v>0</v>
      </c>
      <c r="AM108" t="n">
        <f>G108*V108</f>
        <v>0</v>
      </c>
      <c r="AN108" t="n">
        <f>H108*V108</f>
        <v>0</v>
      </c>
      <c r="AO108" t="n">
        <f>I108*V108</f>
        <v>0</v>
      </c>
      <c r="AP108" t="n">
        <f>J108*V108</f>
        <v>0</v>
      </c>
      <c r="AQ108" t="n">
        <f>K108*V108</f>
        <v>0</v>
      </c>
      <c r="AR108" t="n">
        <f>L108*V108</f>
        <v>0</v>
      </c>
      <c r="AS108" t="n">
        <f>M108*V108</f>
        <v>0</v>
      </c>
      <c r="AT108" t="n">
        <f>N108*V108</f>
        <v>0</v>
      </c>
      <c r="AU108" t="n">
        <f>O108*V108</f>
        <v>0</v>
      </c>
      <c r="AV108" t="n">
        <f>P108*V108</f>
        <v>0</v>
      </c>
      <c r="AW108" t="n">
        <f>Q108*V108</f>
        <v>0</v>
      </c>
      <c r="AX108" t="n">
        <f>E108*W108</f>
        <v>0</v>
      </c>
      <c r="AY108" t="n">
        <f>F108*W108</f>
        <v>0</v>
      </c>
      <c r="AZ108" t="n">
        <f>G108*W108</f>
        <v>0</v>
      </c>
      <c r="BA108" t="n">
        <f>H108*W108</f>
        <v>0</v>
      </c>
      <c r="BB108" t="n">
        <f>I108*W108</f>
        <v>0</v>
      </c>
      <c r="BC108" t="n">
        <f>J108*W108</f>
        <v>0</v>
      </c>
      <c r="BD108" t="n">
        <f>K108*W108</f>
        <v>0</v>
      </c>
      <c r="BE108" t="n">
        <f>L108*W108</f>
        <v>0</v>
      </c>
      <c r="BF108" t="n">
        <f>M108*W108</f>
        <v>0</v>
      </c>
      <c r="BG108" t="n">
        <f>N108*W108</f>
        <v>0</v>
      </c>
      <c r="BH108" t="n">
        <f>O108*W108</f>
        <v>0</v>
      </c>
      <c r="BI108" t="n">
        <f>P108*W108</f>
        <v>0</v>
      </c>
      <c r="BJ108" t="n">
        <f>Q108*W108</f>
        <v>0</v>
      </c>
    </row>
    <row r="109">
      <c r="A109" t="n">
        <f>Charges!A109</f>
        <v>0</v>
      </c>
      <c r="B109" t="n">
        <f>Charges!C109</f>
        <v>0</v>
      </c>
      <c r="C109" t="str">
        <f>Charges!D109</f>
        <v/>
      </c>
      <c r="E109" t="n">
        <f>IF(1&lt;=Paramètres!$B$9,MAX(0,IFERROR(N(IF(ISNUMBER(Charges!F109),MAX(0,Charges!F109),IFERROR(VLOOKUP(Charges!F109,Paramètres!$A$15:$B$18,2,FALSE),0))),0)),0)</f>
        <v>0</v>
      </c>
      <c r="F109" t="n">
        <f>IF(2&lt;=Paramètres!$B$9,MAX(0,IFERROR(N(IF(ISNUMBER(Charges!G109),MAX(0,Charges!G109),IFERROR(VLOOKUP(Charges!G109,Paramètres!$A$15:$B$18,2,FALSE),0))),0)),0)</f>
        <v>0</v>
      </c>
      <c r="G109" t="n">
        <f>IF(3&lt;=Paramètres!$B$9,MAX(0,IFERROR(N(IF(ISNUMBER(Charges!H109),MAX(0,Charges!H109),IFERROR(VLOOKUP(Charges!H109,Paramètres!$A$15:$B$18,2,FALSE),0))),0)),0)</f>
        <v>0</v>
      </c>
      <c r="H109" t="n">
        <f>IF(4&lt;=Paramètres!$B$9,MAX(0,IFERROR(N(IF(ISNUMBER(Charges!I109),MAX(0,Charges!I109),IFERROR(VLOOKUP(Charges!I109,Paramètres!$A$15:$B$18,2,FALSE),0))),0)),0)</f>
        <v>0</v>
      </c>
      <c r="I109" t="n">
        <f>IF(5&lt;=Paramètres!$B$9,MAX(0,IFERROR(N(IF(ISNUMBER(Charges!J109),MAX(0,Charges!J109),IFERROR(VLOOKUP(Charges!J109,Paramètres!$A$15:$B$18,2,FALSE),0))),0)),0)</f>
        <v>0</v>
      </c>
      <c r="J109" t="n">
        <f>IF(6&lt;=Paramètres!$B$9,MAX(0,IFERROR(N(IF(ISNUMBER(Charges!K109),MAX(0,Charges!K109),IFERROR(VLOOKUP(Charges!K109,Paramètres!$A$15:$B$18,2,FALSE),0))),0)),0)</f>
        <v>0</v>
      </c>
      <c r="K109" t="n">
        <f>IF(7&lt;=Paramètres!$B$9,MAX(0,IFERROR(N(IF(ISNUMBER(Charges!L109),MAX(0,Charges!L109),IFERROR(VLOOKUP(Charges!L109,Paramètres!$A$15:$B$18,2,FALSE),0))),0)),0)</f>
        <v>0</v>
      </c>
      <c r="L109" t="n">
        <f>IF(8&lt;=Paramètres!$B$9,MAX(0,IFERROR(N(IF(ISNUMBER(Charges!M109),MAX(0,Charges!M109),IFERROR(VLOOKUP(Charges!M109,Paramètres!$A$15:$B$18,2,FALSE),0))),0)),0)</f>
        <v>0</v>
      </c>
      <c r="M109" t="n">
        <f>IF(9&lt;=Paramètres!$B$9,MAX(0,IFERROR(N(IF(ISNUMBER(Charges!N109),MAX(0,Charges!N109),IFERROR(VLOOKUP(Charges!N109,Paramètres!$A$15:$B$18,2,FALSE),0))),0)),0)</f>
        <v>0</v>
      </c>
      <c r="N109" t="n">
        <f>IF(10&lt;=Paramètres!$B$9,MAX(0,IFERROR(N(IF(ISNUMBER(Charges!O109),MAX(0,Charges!O109),IFERROR(VLOOKUP(Charges!O109,Paramètres!$A$15:$B$18,2,FALSE),0))),0)),0)</f>
        <v>0</v>
      </c>
      <c r="O109" t="n">
        <f>IF(11&lt;=Paramètres!$B$9,MAX(0,IFERROR(N(IF(ISNUMBER(Charges!P109),MAX(0,Charges!P109),IFERROR(VLOOKUP(Charges!P109,Paramètres!$A$15:$B$18,2,FALSE),0))),0)),0)</f>
        <v>0</v>
      </c>
      <c r="P109" t="n">
        <f>IF(12&lt;=Paramètres!$B$9,MAX(0,IFERROR(N(IF(ISNUMBER(Charges!Q109),MAX(0,Charges!Q109),IFERROR(VLOOKUP(Charges!Q109,Paramètres!$A$15:$B$18,2,FALSE),0))),0)),0)</f>
        <v>0</v>
      </c>
      <c r="Q109" t="n">
        <f>IF(13&lt;=Paramètres!$B$9,MAX(0,IFERROR(N(IF(ISNUMBER(Charges!R109),MAX(0,Charges!R109),IFERROR(VLOOKUP(Charges!R109,Paramètres!$A$15:$B$18,2,FALSE),0))),0)),0)</f>
        <v>0</v>
      </c>
      <c r="R109" t="n">
        <f>SUM(E109:Q109)</f>
        <v>0</v>
      </c>
      <c r="S109" t="n">
        <f>IF(IFERROR(VLOOKUP(A109,'Projets'!$A$8:$Z$67,7,FALSE),"")="Engager",1,0)</f>
        <v>0</v>
      </c>
      <c r="T109" t="n">
        <f>IF(OR(Charges!F109="",AND(ISNUMBER(Charges!F109),Charges!F109&gt;=0),Charges!F109="S",Charges!F109="M",Charges!F109="L",Charges!F109="XL"),0,1)+IF(OR(Charges!G109="",AND(ISNUMBER(Charges!G109),Charges!G109&gt;=0),Charges!G109="S",Charges!G109="M",Charges!G109="L",Charges!G109="XL"),0,1)+IF(OR(Charges!H109="",AND(ISNUMBER(Charges!H109),Charges!H109&gt;=0),Charges!H109="S",Charges!H109="M",Charges!H109="L",Charges!H109="XL"),0,1)+IF(OR(Charges!I109="",AND(ISNUMBER(Charges!I109),Charges!I109&gt;=0),Charges!I109="S",Charges!I109="M",Charges!I109="L",Charges!I109="XL"),0,1)+IF(OR(Charges!J109="",AND(ISNUMBER(Charges!J109),Charges!J109&gt;=0),Charges!J109="S",Charges!J109="M",Charges!J109="L",Charges!J109="XL"),0,1)+IF(OR(Charges!K109="",AND(ISNUMBER(Charges!K109),Charges!K109&gt;=0),Charges!K109="S",Charges!K109="M",Charges!K109="L",Charges!K109="XL"),0,1)+IF(OR(Charges!L109="",AND(ISNUMBER(Charges!L109),Charges!L109&gt;=0),Charges!L109="S",Charges!L109="M",Charges!L109="L",Charges!L109="XL"),0,1)+IF(OR(Charges!M109="",AND(ISNUMBER(Charges!M109),Charges!M109&gt;=0),Charges!M109="S",Charges!M109="M",Charges!M109="L",Charges!M109="XL"),0,1)+IF(OR(Charges!N109="",AND(ISNUMBER(Charges!N109),Charges!N109&gt;=0),Charges!N109="S",Charges!N109="M",Charges!N109="L",Charges!N109="XL"),0,1)+IF(OR(Charges!O109="",AND(ISNUMBER(Charges!O109),Charges!O109&gt;=0),Charges!O109="S",Charges!O109="M",Charges!O109="L",Charges!O109="XL"),0,1)+IF(OR(Charges!P109="",AND(ISNUMBER(Charges!P109),Charges!P109&gt;=0),Charges!P109="S",Charges!P109="M",Charges!P109="L",Charges!P109="XL"),0,1)+IF(OR(Charges!Q109="",AND(ISNUMBER(Charges!Q109),Charges!Q109&gt;=0),Charges!Q109="S",Charges!Q109="M",Charges!Q109="L",Charges!Q109="XL"),0,1)+IF(OR(Charges!R109="",AND(ISNUMBER(Charges!R109),Charges!R109&gt;=0),Charges!R109="S",Charges!R109="M",Charges!R109="L",Charges!R109="XL"),0,1)</f>
        <v>0</v>
      </c>
      <c r="U109" t="n">
        <f>IF(AND(1&gt;Paramètres!$B$9,Charges!F109&lt;&gt;"",Charges!F109&lt;&gt;0),1,0)+IF(AND(2&gt;Paramètres!$B$9,Charges!G109&lt;&gt;"",Charges!G109&lt;&gt;0),1,0)+IF(AND(3&gt;Paramètres!$B$9,Charges!H109&lt;&gt;"",Charges!H109&lt;&gt;0),1,0)+IF(AND(4&gt;Paramètres!$B$9,Charges!I109&lt;&gt;"",Charges!I109&lt;&gt;0),1,0)+IF(AND(5&gt;Paramètres!$B$9,Charges!J109&lt;&gt;"",Charges!J109&lt;&gt;0),1,0)+IF(AND(6&gt;Paramètres!$B$9,Charges!K109&lt;&gt;"",Charges!K109&lt;&gt;0),1,0)+IF(AND(7&gt;Paramètres!$B$9,Charges!L109&lt;&gt;"",Charges!L109&lt;&gt;0),1,0)+IF(AND(8&gt;Paramètres!$B$9,Charges!M109&lt;&gt;"",Charges!M109&lt;&gt;0),1,0)+IF(AND(9&gt;Paramètres!$B$9,Charges!N109&lt;&gt;"",Charges!N109&lt;&gt;0),1,0)+IF(AND(10&gt;Paramètres!$B$9,Charges!O109&lt;&gt;"",Charges!O109&lt;&gt;0),1,0)+IF(AND(11&gt;Paramètres!$B$9,Charges!P109&lt;&gt;"",Charges!P109&lt;&gt;0),1,0)+IF(AND(12&gt;Paramètres!$B$9,Charges!Q109&lt;&gt;"",Charges!Q109&lt;&gt;0),1,0)+IF(AND(13&gt;Paramètres!$B$9,Charges!R109&lt;&gt;"",Charges!R109&lt;&gt;0),1,0)</f>
        <v>0</v>
      </c>
      <c r="V109" t="n">
        <f>IF(IFERROR(VLOOKUP(A109,'Projets'!$A$8:$Z$67,5,FALSE),"")="Engager",1,0)</f>
        <v>0</v>
      </c>
      <c r="W109" t="n">
        <f>IF(IFERROR(VLOOKUP(A109,'Projets'!$A$8:$Z$67,6,FALSE),"")="Engager",1,0)</f>
        <v>0</v>
      </c>
      <c r="X109" t="n">
        <f>E109*S109</f>
        <v>0</v>
      </c>
      <c r="Y109" t="n">
        <f>F109*S109</f>
        <v>0</v>
      </c>
      <c r="Z109" t="n">
        <f>G109*S109</f>
        <v>0</v>
      </c>
      <c r="AA109" t="n">
        <f>H109*S109</f>
        <v>0</v>
      </c>
      <c r="AB109" t="n">
        <f>I109*S109</f>
        <v>0</v>
      </c>
      <c r="AC109" t="n">
        <f>J109*S109</f>
        <v>0</v>
      </c>
      <c r="AD109" t="n">
        <f>K109*S109</f>
        <v>0</v>
      </c>
      <c r="AE109" t="n">
        <f>L109*S109</f>
        <v>0</v>
      </c>
      <c r="AF109" t="n">
        <f>M109*S109</f>
        <v>0</v>
      </c>
      <c r="AG109" t="n">
        <f>N109*S109</f>
        <v>0</v>
      </c>
      <c r="AH109" t="n">
        <f>O109*S109</f>
        <v>0</v>
      </c>
      <c r="AI109" t="n">
        <f>P109*S109</f>
        <v>0</v>
      </c>
      <c r="AJ109" t="n">
        <f>Q109*S109</f>
        <v>0</v>
      </c>
      <c r="AK109" t="n">
        <f>E109*V109</f>
        <v>0</v>
      </c>
      <c r="AL109" t="n">
        <f>F109*V109</f>
        <v>0</v>
      </c>
      <c r="AM109" t="n">
        <f>G109*V109</f>
        <v>0</v>
      </c>
      <c r="AN109" t="n">
        <f>H109*V109</f>
        <v>0</v>
      </c>
      <c r="AO109" t="n">
        <f>I109*V109</f>
        <v>0</v>
      </c>
      <c r="AP109" t="n">
        <f>J109*V109</f>
        <v>0</v>
      </c>
      <c r="AQ109" t="n">
        <f>K109*V109</f>
        <v>0</v>
      </c>
      <c r="AR109" t="n">
        <f>L109*V109</f>
        <v>0</v>
      </c>
      <c r="AS109" t="n">
        <f>M109*V109</f>
        <v>0</v>
      </c>
      <c r="AT109" t="n">
        <f>N109*V109</f>
        <v>0</v>
      </c>
      <c r="AU109" t="n">
        <f>O109*V109</f>
        <v>0</v>
      </c>
      <c r="AV109" t="n">
        <f>P109*V109</f>
        <v>0</v>
      </c>
      <c r="AW109" t="n">
        <f>Q109*V109</f>
        <v>0</v>
      </c>
      <c r="AX109" t="n">
        <f>E109*W109</f>
        <v>0</v>
      </c>
      <c r="AY109" t="n">
        <f>F109*W109</f>
        <v>0</v>
      </c>
      <c r="AZ109" t="n">
        <f>G109*W109</f>
        <v>0</v>
      </c>
      <c r="BA109" t="n">
        <f>H109*W109</f>
        <v>0</v>
      </c>
      <c r="BB109" t="n">
        <f>I109*W109</f>
        <v>0</v>
      </c>
      <c r="BC109" t="n">
        <f>J109*W109</f>
        <v>0</v>
      </c>
      <c r="BD109" t="n">
        <f>K109*W109</f>
        <v>0</v>
      </c>
      <c r="BE109" t="n">
        <f>L109*W109</f>
        <v>0</v>
      </c>
      <c r="BF109" t="n">
        <f>M109*W109</f>
        <v>0</v>
      </c>
      <c r="BG109" t="n">
        <f>N109*W109</f>
        <v>0</v>
      </c>
      <c r="BH109" t="n">
        <f>O109*W109</f>
        <v>0</v>
      </c>
      <c r="BI109" t="n">
        <f>P109*W109</f>
        <v>0</v>
      </c>
      <c r="BJ109" t="n">
        <f>Q109*W109</f>
        <v>0</v>
      </c>
    </row>
    <row r="110">
      <c r="A110" t="n">
        <f>Charges!A110</f>
        <v>0</v>
      </c>
      <c r="B110" t="n">
        <f>Charges!C110</f>
        <v>0</v>
      </c>
      <c r="C110" t="str">
        <f>Charges!D110</f>
        <v/>
      </c>
      <c r="E110" t="n">
        <f>IF(1&lt;=Paramètres!$B$9,MAX(0,IFERROR(N(IF(ISNUMBER(Charges!F110),MAX(0,Charges!F110),IFERROR(VLOOKUP(Charges!F110,Paramètres!$A$15:$B$18,2,FALSE),0))),0)),0)</f>
        <v>0</v>
      </c>
      <c r="F110" t="n">
        <f>IF(2&lt;=Paramètres!$B$9,MAX(0,IFERROR(N(IF(ISNUMBER(Charges!G110),MAX(0,Charges!G110),IFERROR(VLOOKUP(Charges!G110,Paramètres!$A$15:$B$18,2,FALSE),0))),0)),0)</f>
        <v>0</v>
      </c>
      <c r="G110" t="n">
        <f>IF(3&lt;=Paramètres!$B$9,MAX(0,IFERROR(N(IF(ISNUMBER(Charges!H110),MAX(0,Charges!H110),IFERROR(VLOOKUP(Charges!H110,Paramètres!$A$15:$B$18,2,FALSE),0))),0)),0)</f>
        <v>0</v>
      </c>
      <c r="H110" t="n">
        <f>IF(4&lt;=Paramètres!$B$9,MAX(0,IFERROR(N(IF(ISNUMBER(Charges!I110),MAX(0,Charges!I110),IFERROR(VLOOKUP(Charges!I110,Paramètres!$A$15:$B$18,2,FALSE),0))),0)),0)</f>
        <v>0</v>
      </c>
      <c r="I110" t="n">
        <f>IF(5&lt;=Paramètres!$B$9,MAX(0,IFERROR(N(IF(ISNUMBER(Charges!J110),MAX(0,Charges!J110),IFERROR(VLOOKUP(Charges!J110,Paramètres!$A$15:$B$18,2,FALSE),0))),0)),0)</f>
        <v>0</v>
      </c>
      <c r="J110" t="n">
        <f>IF(6&lt;=Paramètres!$B$9,MAX(0,IFERROR(N(IF(ISNUMBER(Charges!K110),MAX(0,Charges!K110),IFERROR(VLOOKUP(Charges!K110,Paramètres!$A$15:$B$18,2,FALSE),0))),0)),0)</f>
        <v>0</v>
      </c>
      <c r="K110" t="n">
        <f>IF(7&lt;=Paramètres!$B$9,MAX(0,IFERROR(N(IF(ISNUMBER(Charges!L110),MAX(0,Charges!L110),IFERROR(VLOOKUP(Charges!L110,Paramètres!$A$15:$B$18,2,FALSE),0))),0)),0)</f>
        <v>0</v>
      </c>
      <c r="L110" t="n">
        <f>IF(8&lt;=Paramètres!$B$9,MAX(0,IFERROR(N(IF(ISNUMBER(Charges!M110),MAX(0,Charges!M110),IFERROR(VLOOKUP(Charges!M110,Paramètres!$A$15:$B$18,2,FALSE),0))),0)),0)</f>
        <v>0</v>
      </c>
      <c r="M110" t="n">
        <f>IF(9&lt;=Paramètres!$B$9,MAX(0,IFERROR(N(IF(ISNUMBER(Charges!N110),MAX(0,Charges!N110),IFERROR(VLOOKUP(Charges!N110,Paramètres!$A$15:$B$18,2,FALSE),0))),0)),0)</f>
        <v>0</v>
      </c>
      <c r="N110" t="n">
        <f>IF(10&lt;=Paramètres!$B$9,MAX(0,IFERROR(N(IF(ISNUMBER(Charges!O110),MAX(0,Charges!O110),IFERROR(VLOOKUP(Charges!O110,Paramètres!$A$15:$B$18,2,FALSE),0))),0)),0)</f>
        <v>0</v>
      </c>
      <c r="O110" t="n">
        <f>IF(11&lt;=Paramètres!$B$9,MAX(0,IFERROR(N(IF(ISNUMBER(Charges!P110),MAX(0,Charges!P110),IFERROR(VLOOKUP(Charges!P110,Paramètres!$A$15:$B$18,2,FALSE),0))),0)),0)</f>
        <v>0</v>
      </c>
      <c r="P110" t="n">
        <f>IF(12&lt;=Paramètres!$B$9,MAX(0,IFERROR(N(IF(ISNUMBER(Charges!Q110),MAX(0,Charges!Q110),IFERROR(VLOOKUP(Charges!Q110,Paramètres!$A$15:$B$18,2,FALSE),0))),0)),0)</f>
        <v>0</v>
      </c>
      <c r="Q110" t="n">
        <f>IF(13&lt;=Paramètres!$B$9,MAX(0,IFERROR(N(IF(ISNUMBER(Charges!R110),MAX(0,Charges!R110),IFERROR(VLOOKUP(Charges!R110,Paramètres!$A$15:$B$18,2,FALSE),0))),0)),0)</f>
        <v>0</v>
      </c>
      <c r="R110" t="n">
        <f>SUM(E110:Q110)</f>
        <v>0</v>
      </c>
      <c r="S110" t="n">
        <f>IF(IFERROR(VLOOKUP(A110,'Projets'!$A$8:$Z$67,7,FALSE),"")="Engager",1,0)</f>
        <v>0</v>
      </c>
      <c r="T110" t="n">
        <f>IF(OR(Charges!F110="",AND(ISNUMBER(Charges!F110),Charges!F110&gt;=0),Charges!F110="S",Charges!F110="M",Charges!F110="L",Charges!F110="XL"),0,1)+IF(OR(Charges!G110="",AND(ISNUMBER(Charges!G110),Charges!G110&gt;=0),Charges!G110="S",Charges!G110="M",Charges!G110="L",Charges!G110="XL"),0,1)+IF(OR(Charges!H110="",AND(ISNUMBER(Charges!H110),Charges!H110&gt;=0),Charges!H110="S",Charges!H110="M",Charges!H110="L",Charges!H110="XL"),0,1)+IF(OR(Charges!I110="",AND(ISNUMBER(Charges!I110),Charges!I110&gt;=0),Charges!I110="S",Charges!I110="M",Charges!I110="L",Charges!I110="XL"),0,1)+IF(OR(Charges!J110="",AND(ISNUMBER(Charges!J110),Charges!J110&gt;=0),Charges!J110="S",Charges!J110="M",Charges!J110="L",Charges!J110="XL"),0,1)+IF(OR(Charges!K110="",AND(ISNUMBER(Charges!K110),Charges!K110&gt;=0),Charges!K110="S",Charges!K110="M",Charges!K110="L",Charges!K110="XL"),0,1)+IF(OR(Charges!L110="",AND(ISNUMBER(Charges!L110),Charges!L110&gt;=0),Charges!L110="S",Charges!L110="M",Charges!L110="L",Charges!L110="XL"),0,1)+IF(OR(Charges!M110="",AND(ISNUMBER(Charges!M110),Charges!M110&gt;=0),Charges!M110="S",Charges!M110="M",Charges!M110="L",Charges!M110="XL"),0,1)+IF(OR(Charges!N110="",AND(ISNUMBER(Charges!N110),Charges!N110&gt;=0),Charges!N110="S",Charges!N110="M",Charges!N110="L",Charges!N110="XL"),0,1)+IF(OR(Charges!O110="",AND(ISNUMBER(Charges!O110),Charges!O110&gt;=0),Charges!O110="S",Charges!O110="M",Charges!O110="L",Charges!O110="XL"),0,1)+IF(OR(Charges!P110="",AND(ISNUMBER(Charges!P110),Charges!P110&gt;=0),Charges!P110="S",Charges!P110="M",Charges!P110="L",Charges!P110="XL"),0,1)+IF(OR(Charges!Q110="",AND(ISNUMBER(Charges!Q110),Charges!Q110&gt;=0),Charges!Q110="S",Charges!Q110="M",Charges!Q110="L",Charges!Q110="XL"),0,1)+IF(OR(Charges!R110="",AND(ISNUMBER(Charges!R110),Charges!R110&gt;=0),Charges!R110="S",Charges!R110="M",Charges!R110="L",Charges!R110="XL"),0,1)</f>
        <v>0</v>
      </c>
      <c r="U110" t="n">
        <f>IF(AND(1&gt;Paramètres!$B$9,Charges!F110&lt;&gt;"",Charges!F110&lt;&gt;0),1,0)+IF(AND(2&gt;Paramètres!$B$9,Charges!G110&lt;&gt;"",Charges!G110&lt;&gt;0),1,0)+IF(AND(3&gt;Paramètres!$B$9,Charges!H110&lt;&gt;"",Charges!H110&lt;&gt;0),1,0)+IF(AND(4&gt;Paramètres!$B$9,Charges!I110&lt;&gt;"",Charges!I110&lt;&gt;0),1,0)+IF(AND(5&gt;Paramètres!$B$9,Charges!J110&lt;&gt;"",Charges!J110&lt;&gt;0),1,0)+IF(AND(6&gt;Paramètres!$B$9,Charges!K110&lt;&gt;"",Charges!K110&lt;&gt;0),1,0)+IF(AND(7&gt;Paramètres!$B$9,Charges!L110&lt;&gt;"",Charges!L110&lt;&gt;0),1,0)+IF(AND(8&gt;Paramètres!$B$9,Charges!M110&lt;&gt;"",Charges!M110&lt;&gt;0),1,0)+IF(AND(9&gt;Paramètres!$B$9,Charges!N110&lt;&gt;"",Charges!N110&lt;&gt;0),1,0)+IF(AND(10&gt;Paramètres!$B$9,Charges!O110&lt;&gt;"",Charges!O110&lt;&gt;0),1,0)+IF(AND(11&gt;Paramètres!$B$9,Charges!P110&lt;&gt;"",Charges!P110&lt;&gt;0),1,0)+IF(AND(12&gt;Paramètres!$B$9,Charges!Q110&lt;&gt;"",Charges!Q110&lt;&gt;0),1,0)+IF(AND(13&gt;Paramètres!$B$9,Charges!R110&lt;&gt;"",Charges!R110&lt;&gt;0),1,0)</f>
        <v>0</v>
      </c>
      <c r="V110" t="n">
        <f>IF(IFERROR(VLOOKUP(A110,'Projets'!$A$8:$Z$67,5,FALSE),"")="Engager",1,0)</f>
        <v>0</v>
      </c>
      <c r="W110" t="n">
        <f>IF(IFERROR(VLOOKUP(A110,'Projets'!$A$8:$Z$67,6,FALSE),"")="Engager",1,0)</f>
        <v>0</v>
      </c>
      <c r="X110" t="n">
        <f>E110*S110</f>
        <v>0</v>
      </c>
      <c r="Y110" t="n">
        <f>F110*S110</f>
        <v>0</v>
      </c>
      <c r="Z110" t="n">
        <f>G110*S110</f>
        <v>0</v>
      </c>
      <c r="AA110" t="n">
        <f>H110*S110</f>
        <v>0</v>
      </c>
      <c r="AB110" t="n">
        <f>I110*S110</f>
        <v>0</v>
      </c>
      <c r="AC110" t="n">
        <f>J110*S110</f>
        <v>0</v>
      </c>
      <c r="AD110" t="n">
        <f>K110*S110</f>
        <v>0</v>
      </c>
      <c r="AE110" t="n">
        <f>L110*S110</f>
        <v>0</v>
      </c>
      <c r="AF110" t="n">
        <f>M110*S110</f>
        <v>0</v>
      </c>
      <c r="AG110" t="n">
        <f>N110*S110</f>
        <v>0</v>
      </c>
      <c r="AH110" t="n">
        <f>O110*S110</f>
        <v>0</v>
      </c>
      <c r="AI110" t="n">
        <f>P110*S110</f>
        <v>0</v>
      </c>
      <c r="AJ110" t="n">
        <f>Q110*S110</f>
        <v>0</v>
      </c>
      <c r="AK110" t="n">
        <f>E110*V110</f>
        <v>0</v>
      </c>
      <c r="AL110" t="n">
        <f>F110*V110</f>
        <v>0</v>
      </c>
      <c r="AM110" t="n">
        <f>G110*V110</f>
        <v>0</v>
      </c>
      <c r="AN110" t="n">
        <f>H110*V110</f>
        <v>0</v>
      </c>
      <c r="AO110" t="n">
        <f>I110*V110</f>
        <v>0</v>
      </c>
      <c r="AP110" t="n">
        <f>J110*V110</f>
        <v>0</v>
      </c>
      <c r="AQ110" t="n">
        <f>K110*V110</f>
        <v>0</v>
      </c>
      <c r="AR110" t="n">
        <f>L110*V110</f>
        <v>0</v>
      </c>
      <c r="AS110" t="n">
        <f>M110*V110</f>
        <v>0</v>
      </c>
      <c r="AT110" t="n">
        <f>N110*V110</f>
        <v>0</v>
      </c>
      <c r="AU110" t="n">
        <f>O110*V110</f>
        <v>0</v>
      </c>
      <c r="AV110" t="n">
        <f>P110*V110</f>
        <v>0</v>
      </c>
      <c r="AW110" t="n">
        <f>Q110*V110</f>
        <v>0</v>
      </c>
      <c r="AX110" t="n">
        <f>E110*W110</f>
        <v>0</v>
      </c>
      <c r="AY110" t="n">
        <f>F110*W110</f>
        <v>0</v>
      </c>
      <c r="AZ110" t="n">
        <f>G110*W110</f>
        <v>0</v>
      </c>
      <c r="BA110" t="n">
        <f>H110*W110</f>
        <v>0</v>
      </c>
      <c r="BB110" t="n">
        <f>I110*W110</f>
        <v>0</v>
      </c>
      <c r="BC110" t="n">
        <f>J110*W110</f>
        <v>0</v>
      </c>
      <c r="BD110" t="n">
        <f>K110*W110</f>
        <v>0</v>
      </c>
      <c r="BE110" t="n">
        <f>L110*W110</f>
        <v>0</v>
      </c>
      <c r="BF110" t="n">
        <f>M110*W110</f>
        <v>0</v>
      </c>
      <c r="BG110" t="n">
        <f>N110*W110</f>
        <v>0</v>
      </c>
      <c r="BH110" t="n">
        <f>O110*W110</f>
        <v>0</v>
      </c>
      <c r="BI110" t="n">
        <f>P110*W110</f>
        <v>0</v>
      </c>
      <c r="BJ110" t="n">
        <f>Q110*W110</f>
        <v>0</v>
      </c>
    </row>
    <row r="111">
      <c r="A111" t="n">
        <f>Charges!A111</f>
        <v>0</v>
      </c>
      <c r="B111" t="n">
        <f>Charges!C111</f>
        <v>0</v>
      </c>
      <c r="C111" t="str">
        <f>Charges!D111</f>
        <v/>
      </c>
      <c r="E111" t="n">
        <f>IF(1&lt;=Paramètres!$B$9,MAX(0,IFERROR(N(IF(ISNUMBER(Charges!F111),MAX(0,Charges!F111),IFERROR(VLOOKUP(Charges!F111,Paramètres!$A$15:$B$18,2,FALSE),0))),0)),0)</f>
        <v>0</v>
      </c>
      <c r="F111" t="n">
        <f>IF(2&lt;=Paramètres!$B$9,MAX(0,IFERROR(N(IF(ISNUMBER(Charges!G111),MAX(0,Charges!G111),IFERROR(VLOOKUP(Charges!G111,Paramètres!$A$15:$B$18,2,FALSE),0))),0)),0)</f>
        <v>0</v>
      </c>
      <c r="G111" t="n">
        <f>IF(3&lt;=Paramètres!$B$9,MAX(0,IFERROR(N(IF(ISNUMBER(Charges!H111),MAX(0,Charges!H111),IFERROR(VLOOKUP(Charges!H111,Paramètres!$A$15:$B$18,2,FALSE),0))),0)),0)</f>
        <v>0</v>
      </c>
      <c r="H111" t="n">
        <f>IF(4&lt;=Paramètres!$B$9,MAX(0,IFERROR(N(IF(ISNUMBER(Charges!I111),MAX(0,Charges!I111),IFERROR(VLOOKUP(Charges!I111,Paramètres!$A$15:$B$18,2,FALSE),0))),0)),0)</f>
        <v>0</v>
      </c>
      <c r="I111" t="n">
        <f>IF(5&lt;=Paramètres!$B$9,MAX(0,IFERROR(N(IF(ISNUMBER(Charges!J111),MAX(0,Charges!J111),IFERROR(VLOOKUP(Charges!J111,Paramètres!$A$15:$B$18,2,FALSE),0))),0)),0)</f>
        <v>0</v>
      </c>
      <c r="J111" t="n">
        <f>IF(6&lt;=Paramètres!$B$9,MAX(0,IFERROR(N(IF(ISNUMBER(Charges!K111),MAX(0,Charges!K111),IFERROR(VLOOKUP(Charges!K111,Paramètres!$A$15:$B$18,2,FALSE),0))),0)),0)</f>
        <v>0</v>
      </c>
      <c r="K111" t="n">
        <f>IF(7&lt;=Paramètres!$B$9,MAX(0,IFERROR(N(IF(ISNUMBER(Charges!L111),MAX(0,Charges!L111),IFERROR(VLOOKUP(Charges!L111,Paramètres!$A$15:$B$18,2,FALSE),0))),0)),0)</f>
        <v>0</v>
      </c>
      <c r="L111" t="n">
        <f>IF(8&lt;=Paramètres!$B$9,MAX(0,IFERROR(N(IF(ISNUMBER(Charges!M111),MAX(0,Charges!M111),IFERROR(VLOOKUP(Charges!M111,Paramètres!$A$15:$B$18,2,FALSE),0))),0)),0)</f>
        <v>0</v>
      </c>
      <c r="M111" t="n">
        <f>IF(9&lt;=Paramètres!$B$9,MAX(0,IFERROR(N(IF(ISNUMBER(Charges!N111),MAX(0,Charges!N111),IFERROR(VLOOKUP(Charges!N111,Paramètres!$A$15:$B$18,2,FALSE),0))),0)),0)</f>
        <v>0</v>
      </c>
      <c r="N111" t="n">
        <f>IF(10&lt;=Paramètres!$B$9,MAX(0,IFERROR(N(IF(ISNUMBER(Charges!O111),MAX(0,Charges!O111),IFERROR(VLOOKUP(Charges!O111,Paramètres!$A$15:$B$18,2,FALSE),0))),0)),0)</f>
        <v>0</v>
      </c>
      <c r="O111" t="n">
        <f>IF(11&lt;=Paramètres!$B$9,MAX(0,IFERROR(N(IF(ISNUMBER(Charges!P111),MAX(0,Charges!P111),IFERROR(VLOOKUP(Charges!P111,Paramètres!$A$15:$B$18,2,FALSE),0))),0)),0)</f>
        <v>0</v>
      </c>
      <c r="P111" t="n">
        <f>IF(12&lt;=Paramètres!$B$9,MAX(0,IFERROR(N(IF(ISNUMBER(Charges!Q111),MAX(0,Charges!Q111),IFERROR(VLOOKUP(Charges!Q111,Paramètres!$A$15:$B$18,2,FALSE),0))),0)),0)</f>
        <v>0</v>
      </c>
      <c r="Q111" t="n">
        <f>IF(13&lt;=Paramètres!$B$9,MAX(0,IFERROR(N(IF(ISNUMBER(Charges!R111),MAX(0,Charges!R111),IFERROR(VLOOKUP(Charges!R111,Paramètres!$A$15:$B$18,2,FALSE),0))),0)),0)</f>
        <v>0</v>
      </c>
      <c r="R111" t="n">
        <f>SUM(E111:Q111)</f>
        <v>0</v>
      </c>
      <c r="S111" t="n">
        <f>IF(IFERROR(VLOOKUP(A111,'Projets'!$A$8:$Z$67,7,FALSE),"")="Engager",1,0)</f>
        <v>0</v>
      </c>
      <c r="T111" t="n">
        <f>IF(OR(Charges!F111="",AND(ISNUMBER(Charges!F111),Charges!F111&gt;=0),Charges!F111="S",Charges!F111="M",Charges!F111="L",Charges!F111="XL"),0,1)+IF(OR(Charges!G111="",AND(ISNUMBER(Charges!G111),Charges!G111&gt;=0),Charges!G111="S",Charges!G111="M",Charges!G111="L",Charges!G111="XL"),0,1)+IF(OR(Charges!H111="",AND(ISNUMBER(Charges!H111),Charges!H111&gt;=0),Charges!H111="S",Charges!H111="M",Charges!H111="L",Charges!H111="XL"),0,1)+IF(OR(Charges!I111="",AND(ISNUMBER(Charges!I111),Charges!I111&gt;=0),Charges!I111="S",Charges!I111="M",Charges!I111="L",Charges!I111="XL"),0,1)+IF(OR(Charges!J111="",AND(ISNUMBER(Charges!J111),Charges!J111&gt;=0),Charges!J111="S",Charges!J111="M",Charges!J111="L",Charges!J111="XL"),0,1)+IF(OR(Charges!K111="",AND(ISNUMBER(Charges!K111),Charges!K111&gt;=0),Charges!K111="S",Charges!K111="M",Charges!K111="L",Charges!K111="XL"),0,1)+IF(OR(Charges!L111="",AND(ISNUMBER(Charges!L111),Charges!L111&gt;=0),Charges!L111="S",Charges!L111="M",Charges!L111="L",Charges!L111="XL"),0,1)+IF(OR(Charges!M111="",AND(ISNUMBER(Charges!M111),Charges!M111&gt;=0),Charges!M111="S",Charges!M111="M",Charges!M111="L",Charges!M111="XL"),0,1)+IF(OR(Charges!N111="",AND(ISNUMBER(Charges!N111),Charges!N111&gt;=0),Charges!N111="S",Charges!N111="M",Charges!N111="L",Charges!N111="XL"),0,1)+IF(OR(Charges!O111="",AND(ISNUMBER(Charges!O111),Charges!O111&gt;=0),Charges!O111="S",Charges!O111="M",Charges!O111="L",Charges!O111="XL"),0,1)+IF(OR(Charges!P111="",AND(ISNUMBER(Charges!P111),Charges!P111&gt;=0),Charges!P111="S",Charges!P111="M",Charges!P111="L",Charges!P111="XL"),0,1)+IF(OR(Charges!Q111="",AND(ISNUMBER(Charges!Q111),Charges!Q111&gt;=0),Charges!Q111="S",Charges!Q111="M",Charges!Q111="L",Charges!Q111="XL"),0,1)+IF(OR(Charges!R111="",AND(ISNUMBER(Charges!R111),Charges!R111&gt;=0),Charges!R111="S",Charges!R111="M",Charges!R111="L",Charges!R111="XL"),0,1)</f>
        <v>0</v>
      </c>
      <c r="U111" t="n">
        <f>IF(AND(1&gt;Paramètres!$B$9,Charges!F111&lt;&gt;"",Charges!F111&lt;&gt;0),1,0)+IF(AND(2&gt;Paramètres!$B$9,Charges!G111&lt;&gt;"",Charges!G111&lt;&gt;0),1,0)+IF(AND(3&gt;Paramètres!$B$9,Charges!H111&lt;&gt;"",Charges!H111&lt;&gt;0),1,0)+IF(AND(4&gt;Paramètres!$B$9,Charges!I111&lt;&gt;"",Charges!I111&lt;&gt;0),1,0)+IF(AND(5&gt;Paramètres!$B$9,Charges!J111&lt;&gt;"",Charges!J111&lt;&gt;0),1,0)+IF(AND(6&gt;Paramètres!$B$9,Charges!K111&lt;&gt;"",Charges!K111&lt;&gt;0),1,0)+IF(AND(7&gt;Paramètres!$B$9,Charges!L111&lt;&gt;"",Charges!L111&lt;&gt;0),1,0)+IF(AND(8&gt;Paramètres!$B$9,Charges!M111&lt;&gt;"",Charges!M111&lt;&gt;0),1,0)+IF(AND(9&gt;Paramètres!$B$9,Charges!N111&lt;&gt;"",Charges!N111&lt;&gt;0),1,0)+IF(AND(10&gt;Paramètres!$B$9,Charges!O111&lt;&gt;"",Charges!O111&lt;&gt;0),1,0)+IF(AND(11&gt;Paramètres!$B$9,Charges!P111&lt;&gt;"",Charges!P111&lt;&gt;0),1,0)+IF(AND(12&gt;Paramètres!$B$9,Charges!Q111&lt;&gt;"",Charges!Q111&lt;&gt;0),1,0)+IF(AND(13&gt;Paramètres!$B$9,Charges!R111&lt;&gt;"",Charges!R111&lt;&gt;0),1,0)</f>
        <v>0</v>
      </c>
      <c r="V111" t="n">
        <f>IF(IFERROR(VLOOKUP(A111,'Projets'!$A$8:$Z$67,5,FALSE),"")="Engager",1,0)</f>
        <v>0</v>
      </c>
      <c r="W111" t="n">
        <f>IF(IFERROR(VLOOKUP(A111,'Projets'!$A$8:$Z$67,6,FALSE),"")="Engager",1,0)</f>
        <v>0</v>
      </c>
      <c r="X111" t="n">
        <f>E111*S111</f>
        <v>0</v>
      </c>
      <c r="Y111" t="n">
        <f>F111*S111</f>
        <v>0</v>
      </c>
      <c r="Z111" t="n">
        <f>G111*S111</f>
        <v>0</v>
      </c>
      <c r="AA111" t="n">
        <f>H111*S111</f>
        <v>0</v>
      </c>
      <c r="AB111" t="n">
        <f>I111*S111</f>
        <v>0</v>
      </c>
      <c r="AC111" t="n">
        <f>J111*S111</f>
        <v>0</v>
      </c>
      <c r="AD111" t="n">
        <f>K111*S111</f>
        <v>0</v>
      </c>
      <c r="AE111" t="n">
        <f>L111*S111</f>
        <v>0</v>
      </c>
      <c r="AF111" t="n">
        <f>M111*S111</f>
        <v>0</v>
      </c>
      <c r="AG111" t="n">
        <f>N111*S111</f>
        <v>0</v>
      </c>
      <c r="AH111" t="n">
        <f>O111*S111</f>
        <v>0</v>
      </c>
      <c r="AI111" t="n">
        <f>P111*S111</f>
        <v>0</v>
      </c>
      <c r="AJ111" t="n">
        <f>Q111*S111</f>
        <v>0</v>
      </c>
      <c r="AK111" t="n">
        <f>E111*V111</f>
        <v>0</v>
      </c>
      <c r="AL111" t="n">
        <f>F111*V111</f>
        <v>0</v>
      </c>
      <c r="AM111" t="n">
        <f>G111*V111</f>
        <v>0</v>
      </c>
      <c r="AN111" t="n">
        <f>H111*V111</f>
        <v>0</v>
      </c>
      <c r="AO111" t="n">
        <f>I111*V111</f>
        <v>0</v>
      </c>
      <c r="AP111" t="n">
        <f>J111*V111</f>
        <v>0</v>
      </c>
      <c r="AQ111" t="n">
        <f>K111*V111</f>
        <v>0</v>
      </c>
      <c r="AR111" t="n">
        <f>L111*V111</f>
        <v>0</v>
      </c>
      <c r="AS111" t="n">
        <f>M111*V111</f>
        <v>0</v>
      </c>
      <c r="AT111" t="n">
        <f>N111*V111</f>
        <v>0</v>
      </c>
      <c r="AU111" t="n">
        <f>O111*V111</f>
        <v>0</v>
      </c>
      <c r="AV111" t="n">
        <f>P111*V111</f>
        <v>0</v>
      </c>
      <c r="AW111" t="n">
        <f>Q111*V111</f>
        <v>0</v>
      </c>
      <c r="AX111" t="n">
        <f>E111*W111</f>
        <v>0</v>
      </c>
      <c r="AY111" t="n">
        <f>F111*W111</f>
        <v>0</v>
      </c>
      <c r="AZ111" t="n">
        <f>G111*W111</f>
        <v>0</v>
      </c>
      <c r="BA111" t="n">
        <f>H111*W111</f>
        <v>0</v>
      </c>
      <c r="BB111" t="n">
        <f>I111*W111</f>
        <v>0</v>
      </c>
      <c r="BC111" t="n">
        <f>J111*W111</f>
        <v>0</v>
      </c>
      <c r="BD111" t="n">
        <f>K111*W111</f>
        <v>0</v>
      </c>
      <c r="BE111" t="n">
        <f>L111*W111</f>
        <v>0</v>
      </c>
      <c r="BF111" t="n">
        <f>M111*W111</f>
        <v>0</v>
      </c>
      <c r="BG111" t="n">
        <f>N111*W111</f>
        <v>0</v>
      </c>
      <c r="BH111" t="n">
        <f>O111*W111</f>
        <v>0</v>
      </c>
      <c r="BI111" t="n">
        <f>P111*W111</f>
        <v>0</v>
      </c>
      <c r="BJ111" t="n">
        <f>Q111*W111</f>
        <v>0</v>
      </c>
    </row>
    <row r="112">
      <c r="A112" t="n">
        <f>Charges!A112</f>
        <v>0</v>
      </c>
      <c r="B112" t="n">
        <f>Charges!C112</f>
        <v>0</v>
      </c>
      <c r="C112" t="str">
        <f>Charges!D112</f>
        <v/>
      </c>
      <c r="E112" t="n">
        <f>IF(1&lt;=Paramètres!$B$9,MAX(0,IFERROR(N(IF(ISNUMBER(Charges!F112),MAX(0,Charges!F112),IFERROR(VLOOKUP(Charges!F112,Paramètres!$A$15:$B$18,2,FALSE),0))),0)),0)</f>
        <v>0</v>
      </c>
      <c r="F112" t="n">
        <f>IF(2&lt;=Paramètres!$B$9,MAX(0,IFERROR(N(IF(ISNUMBER(Charges!G112),MAX(0,Charges!G112),IFERROR(VLOOKUP(Charges!G112,Paramètres!$A$15:$B$18,2,FALSE),0))),0)),0)</f>
        <v>0</v>
      </c>
      <c r="G112" t="n">
        <f>IF(3&lt;=Paramètres!$B$9,MAX(0,IFERROR(N(IF(ISNUMBER(Charges!H112),MAX(0,Charges!H112),IFERROR(VLOOKUP(Charges!H112,Paramètres!$A$15:$B$18,2,FALSE),0))),0)),0)</f>
        <v>0</v>
      </c>
      <c r="H112" t="n">
        <f>IF(4&lt;=Paramètres!$B$9,MAX(0,IFERROR(N(IF(ISNUMBER(Charges!I112),MAX(0,Charges!I112),IFERROR(VLOOKUP(Charges!I112,Paramètres!$A$15:$B$18,2,FALSE),0))),0)),0)</f>
        <v>0</v>
      </c>
      <c r="I112" t="n">
        <f>IF(5&lt;=Paramètres!$B$9,MAX(0,IFERROR(N(IF(ISNUMBER(Charges!J112),MAX(0,Charges!J112),IFERROR(VLOOKUP(Charges!J112,Paramètres!$A$15:$B$18,2,FALSE),0))),0)),0)</f>
        <v>0</v>
      </c>
      <c r="J112" t="n">
        <f>IF(6&lt;=Paramètres!$B$9,MAX(0,IFERROR(N(IF(ISNUMBER(Charges!K112),MAX(0,Charges!K112),IFERROR(VLOOKUP(Charges!K112,Paramètres!$A$15:$B$18,2,FALSE),0))),0)),0)</f>
        <v>0</v>
      </c>
      <c r="K112" t="n">
        <f>IF(7&lt;=Paramètres!$B$9,MAX(0,IFERROR(N(IF(ISNUMBER(Charges!L112),MAX(0,Charges!L112),IFERROR(VLOOKUP(Charges!L112,Paramètres!$A$15:$B$18,2,FALSE),0))),0)),0)</f>
        <v>0</v>
      </c>
      <c r="L112" t="n">
        <f>IF(8&lt;=Paramètres!$B$9,MAX(0,IFERROR(N(IF(ISNUMBER(Charges!M112),MAX(0,Charges!M112),IFERROR(VLOOKUP(Charges!M112,Paramètres!$A$15:$B$18,2,FALSE),0))),0)),0)</f>
        <v>0</v>
      </c>
      <c r="M112" t="n">
        <f>IF(9&lt;=Paramètres!$B$9,MAX(0,IFERROR(N(IF(ISNUMBER(Charges!N112),MAX(0,Charges!N112),IFERROR(VLOOKUP(Charges!N112,Paramètres!$A$15:$B$18,2,FALSE),0))),0)),0)</f>
        <v>0</v>
      </c>
      <c r="N112" t="n">
        <f>IF(10&lt;=Paramètres!$B$9,MAX(0,IFERROR(N(IF(ISNUMBER(Charges!O112),MAX(0,Charges!O112),IFERROR(VLOOKUP(Charges!O112,Paramètres!$A$15:$B$18,2,FALSE),0))),0)),0)</f>
        <v>0</v>
      </c>
      <c r="O112" t="n">
        <f>IF(11&lt;=Paramètres!$B$9,MAX(0,IFERROR(N(IF(ISNUMBER(Charges!P112),MAX(0,Charges!P112),IFERROR(VLOOKUP(Charges!P112,Paramètres!$A$15:$B$18,2,FALSE),0))),0)),0)</f>
        <v>0</v>
      </c>
      <c r="P112" t="n">
        <f>IF(12&lt;=Paramètres!$B$9,MAX(0,IFERROR(N(IF(ISNUMBER(Charges!Q112),MAX(0,Charges!Q112),IFERROR(VLOOKUP(Charges!Q112,Paramètres!$A$15:$B$18,2,FALSE),0))),0)),0)</f>
        <v>0</v>
      </c>
      <c r="Q112" t="n">
        <f>IF(13&lt;=Paramètres!$B$9,MAX(0,IFERROR(N(IF(ISNUMBER(Charges!R112),MAX(0,Charges!R112),IFERROR(VLOOKUP(Charges!R112,Paramètres!$A$15:$B$18,2,FALSE),0))),0)),0)</f>
        <v>0</v>
      </c>
      <c r="R112" t="n">
        <f>SUM(E112:Q112)</f>
        <v>0</v>
      </c>
      <c r="S112" t="n">
        <f>IF(IFERROR(VLOOKUP(A112,'Projets'!$A$8:$Z$67,7,FALSE),"")="Engager",1,0)</f>
        <v>0</v>
      </c>
      <c r="T112" t="n">
        <f>IF(OR(Charges!F112="",AND(ISNUMBER(Charges!F112),Charges!F112&gt;=0),Charges!F112="S",Charges!F112="M",Charges!F112="L",Charges!F112="XL"),0,1)+IF(OR(Charges!G112="",AND(ISNUMBER(Charges!G112),Charges!G112&gt;=0),Charges!G112="S",Charges!G112="M",Charges!G112="L",Charges!G112="XL"),0,1)+IF(OR(Charges!H112="",AND(ISNUMBER(Charges!H112),Charges!H112&gt;=0),Charges!H112="S",Charges!H112="M",Charges!H112="L",Charges!H112="XL"),0,1)+IF(OR(Charges!I112="",AND(ISNUMBER(Charges!I112),Charges!I112&gt;=0),Charges!I112="S",Charges!I112="M",Charges!I112="L",Charges!I112="XL"),0,1)+IF(OR(Charges!J112="",AND(ISNUMBER(Charges!J112),Charges!J112&gt;=0),Charges!J112="S",Charges!J112="M",Charges!J112="L",Charges!J112="XL"),0,1)+IF(OR(Charges!K112="",AND(ISNUMBER(Charges!K112),Charges!K112&gt;=0),Charges!K112="S",Charges!K112="M",Charges!K112="L",Charges!K112="XL"),0,1)+IF(OR(Charges!L112="",AND(ISNUMBER(Charges!L112),Charges!L112&gt;=0),Charges!L112="S",Charges!L112="M",Charges!L112="L",Charges!L112="XL"),0,1)+IF(OR(Charges!M112="",AND(ISNUMBER(Charges!M112),Charges!M112&gt;=0),Charges!M112="S",Charges!M112="M",Charges!M112="L",Charges!M112="XL"),0,1)+IF(OR(Charges!N112="",AND(ISNUMBER(Charges!N112),Charges!N112&gt;=0),Charges!N112="S",Charges!N112="M",Charges!N112="L",Charges!N112="XL"),0,1)+IF(OR(Charges!O112="",AND(ISNUMBER(Charges!O112),Charges!O112&gt;=0),Charges!O112="S",Charges!O112="M",Charges!O112="L",Charges!O112="XL"),0,1)+IF(OR(Charges!P112="",AND(ISNUMBER(Charges!P112),Charges!P112&gt;=0),Charges!P112="S",Charges!P112="M",Charges!P112="L",Charges!P112="XL"),0,1)+IF(OR(Charges!Q112="",AND(ISNUMBER(Charges!Q112),Charges!Q112&gt;=0),Charges!Q112="S",Charges!Q112="M",Charges!Q112="L",Charges!Q112="XL"),0,1)+IF(OR(Charges!R112="",AND(ISNUMBER(Charges!R112),Charges!R112&gt;=0),Charges!R112="S",Charges!R112="M",Charges!R112="L",Charges!R112="XL"),0,1)</f>
        <v>0</v>
      </c>
      <c r="U112" t="n">
        <f>IF(AND(1&gt;Paramètres!$B$9,Charges!F112&lt;&gt;"",Charges!F112&lt;&gt;0),1,0)+IF(AND(2&gt;Paramètres!$B$9,Charges!G112&lt;&gt;"",Charges!G112&lt;&gt;0),1,0)+IF(AND(3&gt;Paramètres!$B$9,Charges!H112&lt;&gt;"",Charges!H112&lt;&gt;0),1,0)+IF(AND(4&gt;Paramètres!$B$9,Charges!I112&lt;&gt;"",Charges!I112&lt;&gt;0),1,0)+IF(AND(5&gt;Paramètres!$B$9,Charges!J112&lt;&gt;"",Charges!J112&lt;&gt;0),1,0)+IF(AND(6&gt;Paramètres!$B$9,Charges!K112&lt;&gt;"",Charges!K112&lt;&gt;0),1,0)+IF(AND(7&gt;Paramètres!$B$9,Charges!L112&lt;&gt;"",Charges!L112&lt;&gt;0),1,0)+IF(AND(8&gt;Paramètres!$B$9,Charges!M112&lt;&gt;"",Charges!M112&lt;&gt;0),1,0)+IF(AND(9&gt;Paramètres!$B$9,Charges!N112&lt;&gt;"",Charges!N112&lt;&gt;0),1,0)+IF(AND(10&gt;Paramètres!$B$9,Charges!O112&lt;&gt;"",Charges!O112&lt;&gt;0),1,0)+IF(AND(11&gt;Paramètres!$B$9,Charges!P112&lt;&gt;"",Charges!P112&lt;&gt;0),1,0)+IF(AND(12&gt;Paramètres!$B$9,Charges!Q112&lt;&gt;"",Charges!Q112&lt;&gt;0),1,0)+IF(AND(13&gt;Paramètres!$B$9,Charges!R112&lt;&gt;"",Charges!R112&lt;&gt;0),1,0)</f>
        <v>0</v>
      </c>
      <c r="V112" t="n">
        <f>IF(IFERROR(VLOOKUP(A112,'Projets'!$A$8:$Z$67,5,FALSE),"")="Engager",1,0)</f>
        <v>0</v>
      </c>
      <c r="W112" t="n">
        <f>IF(IFERROR(VLOOKUP(A112,'Projets'!$A$8:$Z$67,6,FALSE),"")="Engager",1,0)</f>
        <v>0</v>
      </c>
      <c r="X112" t="n">
        <f>E112*S112</f>
        <v>0</v>
      </c>
      <c r="Y112" t="n">
        <f>F112*S112</f>
        <v>0</v>
      </c>
      <c r="Z112" t="n">
        <f>G112*S112</f>
        <v>0</v>
      </c>
      <c r="AA112" t="n">
        <f>H112*S112</f>
        <v>0</v>
      </c>
      <c r="AB112" t="n">
        <f>I112*S112</f>
        <v>0</v>
      </c>
      <c r="AC112" t="n">
        <f>J112*S112</f>
        <v>0</v>
      </c>
      <c r="AD112" t="n">
        <f>K112*S112</f>
        <v>0</v>
      </c>
      <c r="AE112" t="n">
        <f>L112*S112</f>
        <v>0</v>
      </c>
      <c r="AF112" t="n">
        <f>M112*S112</f>
        <v>0</v>
      </c>
      <c r="AG112" t="n">
        <f>N112*S112</f>
        <v>0</v>
      </c>
      <c r="AH112" t="n">
        <f>O112*S112</f>
        <v>0</v>
      </c>
      <c r="AI112" t="n">
        <f>P112*S112</f>
        <v>0</v>
      </c>
      <c r="AJ112" t="n">
        <f>Q112*S112</f>
        <v>0</v>
      </c>
      <c r="AK112" t="n">
        <f>E112*V112</f>
        <v>0</v>
      </c>
      <c r="AL112" t="n">
        <f>F112*V112</f>
        <v>0</v>
      </c>
      <c r="AM112" t="n">
        <f>G112*V112</f>
        <v>0</v>
      </c>
      <c r="AN112" t="n">
        <f>H112*V112</f>
        <v>0</v>
      </c>
      <c r="AO112" t="n">
        <f>I112*V112</f>
        <v>0</v>
      </c>
      <c r="AP112" t="n">
        <f>J112*V112</f>
        <v>0</v>
      </c>
      <c r="AQ112" t="n">
        <f>K112*V112</f>
        <v>0</v>
      </c>
      <c r="AR112" t="n">
        <f>L112*V112</f>
        <v>0</v>
      </c>
      <c r="AS112" t="n">
        <f>M112*V112</f>
        <v>0</v>
      </c>
      <c r="AT112" t="n">
        <f>N112*V112</f>
        <v>0</v>
      </c>
      <c r="AU112" t="n">
        <f>O112*V112</f>
        <v>0</v>
      </c>
      <c r="AV112" t="n">
        <f>P112*V112</f>
        <v>0</v>
      </c>
      <c r="AW112" t="n">
        <f>Q112*V112</f>
        <v>0</v>
      </c>
      <c r="AX112" t="n">
        <f>E112*W112</f>
        <v>0</v>
      </c>
      <c r="AY112" t="n">
        <f>F112*W112</f>
        <v>0</v>
      </c>
      <c r="AZ112" t="n">
        <f>G112*W112</f>
        <v>0</v>
      </c>
      <c r="BA112" t="n">
        <f>H112*W112</f>
        <v>0</v>
      </c>
      <c r="BB112" t="n">
        <f>I112*W112</f>
        <v>0</v>
      </c>
      <c r="BC112" t="n">
        <f>J112*W112</f>
        <v>0</v>
      </c>
      <c r="BD112" t="n">
        <f>K112*W112</f>
        <v>0</v>
      </c>
      <c r="BE112" t="n">
        <f>L112*W112</f>
        <v>0</v>
      </c>
      <c r="BF112" t="n">
        <f>M112*W112</f>
        <v>0</v>
      </c>
      <c r="BG112" t="n">
        <f>N112*W112</f>
        <v>0</v>
      </c>
      <c r="BH112" t="n">
        <f>O112*W112</f>
        <v>0</v>
      </c>
      <c r="BI112" t="n">
        <f>P112*W112</f>
        <v>0</v>
      </c>
      <c r="BJ112" t="n">
        <f>Q112*W112</f>
        <v>0</v>
      </c>
    </row>
    <row r="113">
      <c r="A113" t="n">
        <f>Charges!A113</f>
        <v>0</v>
      </c>
      <c r="B113" t="n">
        <f>Charges!C113</f>
        <v>0</v>
      </c>
      <c r="C113" t="str">
        <f>Charges!D113</f>
        <v/>
      </c>
      <c r="E113" t="n">
        <f>IF(1&lt;=Paramètres!$B$9,MAX(0,IFERROR(N(IF(ISNUMBER(Charges!F113),MAX(0,Charges!F113),IFERROR(VLOOKUP(Charges!F113,Paramètres!$A$15:$B$18,2,FALSE),0))),0)),0)</f>
        <v>0</v>
      </c>
      <c r="F113" t="n">
        <f>IF(2&lt;=Paramètres!$B$9,MAX(0,IFERROR(N(IF(ISNUMBER(Charges!G113),MAX(0,Charges!G113),IFERROR(VLOOKUP(Charges!G113,Paramètres!$A$15:$B$18,2,FALSE),0))),0)),0)</f>
        <v>0</v>
      </c>
      <c r="G113" t="n">
        <f>IF(3&lt;=Paramètres!$B$9,MAX(0,IFERROR(N(IF(ISNUMBER(Charges!H113),MAX(0,Charges!H113),IFERROR(VLOOKUP(Charges!H113,Paramètres!$A$15:$B$18,2,FALSE),0))),0)),0)</f>
        <v>0</v>
      </c>
      <c r="H113" t="n">
        <f>IF(4&lt;=Paramètres!$B$9,MAX(0,IFERROR(N(IF(ISNUMBER(Charges!I113),MAX(0,Charges!I113),IFERROR(VLOOKUP(Charges!I113,Paramètres!$A$15:$B$18,2,FALSE),0))),0)),0)</f>
        <v>0</v>
      </c>
      <c r="I113" t="n">
        <f>IF(5&lt;=Paramètres!$B$9,MAX(0,IFERROR(N(IF(ISNUMBER(Charges!J113),MAX(0,Charges!J113),IFERROR(VLOOKUP(Charges!J113,Paramètres!$A$15:$B$18,2,FALSE),0))),0)),0)</f>
        <v>0</v>
      </c>
      <c r="J113" t="n">
        <f>IF(6&lt;=Paramètres!$B$9,MAX(0,IFERROR(N(IF(ISNUMBER(Charges!K113),MAX(0,Charges!K113),IFERROR(VLOOKUP(Charges!K113,Paramètres!$A$15:$B$18,2,FALSE),0))),0)),0)</f>
        <v>0</v>
      </c>
      <c r="K113" t="n">
        <f>IF(7&lt;=Paramètres!$B$9,MAX(0,IFERROR(N(IF(ISNUMBER(Charges!L113),MAX(0,Charges!L113),IFERROR(VLOOKUP(Charges!L113,Paramètres!$A$15:$B$18,2,FALSE),0))),0)),0)</f>
        <v>0</v>
      </c>
      <c r="L113" t="n">
        <f>IF(8&lt;=Paramètres!$B$9,MAX(0,IFERROR(N(IF(ISNUMBER(Charges!M113),MAX(0,Charges!M113),IFERROR(VLOOKUP(Charges!M113,Paramètres!$A$15:$B$18,2,FALSE),0))),0)),0)</f>
        <v>0</v>
      </c>
      <c r="M113" t="n">
        <f>IF(9&lt;=Paramètres!$B$9,MAX(0,IFERROR(N(IF(ISNUMBER(Charges!N113),MAX(0,Charges!N113),IFERROR(VLOOKUP(Charges!N113,Paramètres!$A$15:$B$18,2,FALSE),0))),0)),0)</f>
        <v>0</v>
      </c>
      <c r="N113" t="n">
        <f>IF(10&lt;=Paramètres!$B$9,MAX(0,IFERROR(N(IF(ISNUMBER(Charges!O113),MAX(0,Charges!O113),IFERROR(VLOOKUP(Charges!O113,Paramètres!$A$15:$B$18,2,FALSE),0))),0)),0)</f>
        <v>0</v>
      </c>
      <c r="O113" t="n">
        <f>IF(11&lt;=Paramètres!$B$9,MAX(0,IFERROR(N(IF(ISNUMBER(Charges!P113),MAX(0,Charges!P113),IFERROR(VLOOKUP(Charges!P113,Paramètres!$A$15:$B$18,2,FALSE),0))),0)),0)</f>
        <v>0</v>
      </c>
      <c r="P113" t="n">
        <f>IF(12&lt;=Paramètres!$B$9,MAX(0,IFERROR(N(IF(ISNUMBER(Charges!Q113),MAX(0,Charges!Q113),IFERROR(VLOOKUP(Charges!Q113,Paramètres!$A$15:$B$18,2,FALSE),0))),0)),0)</f>
        <v>0</v>
      </c>
      <c r="Q113" t="n">
        <f>IF(13&lt;=Paramètres!$B$9,MAX(0,IFERROR(N(IF(ISNUMBER(Charges!R113),MAX(0,Charges!R113),IFERROR(VLOOKUP(Charges!R113,Paramètres!$A$15:$B$18,2,FALSE),0))),0)),0)</f>
        <v>0</v>
      </c>
      <c r="R113" t="n">
        <f>SUM(E113:Q113)</f>
        <v>0</v>
      </c>
      <c r="S113" t="n">
        <f>IF(IFERROR(VLOOKUP(A113,'Projets'!$A$8:$Z$67,7,FALSE),"")="Engager",1,0)</f>
        <v>0</v>
      </c>
      <c r="T113" t="n">
        <f>IF(OR(Charges!F113="",AND(ISNUMBER(Charges!F113),Charges!F113&gt;=0),Charges!F113="S",Charges!F113="M",Charges!F113="L",Charges!F113="XL"),0,1)+IF(OR(Charges!G113="",AND(ISNUMBER(Charges!G113),Charges!G113&gt;=0),Charges!G113="S",Charges!G113="M",Charges!G113="L",Charges!G113="XL"),0,1)+IF(OR(Charges!H113="",AND(ISNUMBER(Charges!H113),Charges!H113&gt;=0),Charges!H113="S",Charges!H113="M",Charges!H113="L",Charges!H113="XL"),0,1)+IF(OR(Charges!I113="",AND(ISNUMBER(Charges!I113),Charges!I113&gt;=0),Charges!I113="S",Charges!I113="M",Charges!I113="L",Charges!I113="XL"),0,1)+IF(OR(Charges!J113="",AND(ISNUMBER(Charges!J113),Charges!J113&gt;=0),Charges!J113="S",Charges!J113="M",Charges!J113="L",Charges!J113="XL"),0,1)+IF(OR(Charges!K113="",AND(ISNUMBER(Charges!K113),Charges!K113&gt;=0),Charges!K113="S",Charges!K113="M",Charges!K113="L",Charges!K113="XL"),0,1)+IF(OR(Charges!L113="",AND(ISNUMBER(Charges!L113),Charges!L113&gt;=0),Charges!L113="S",Charges!L113="M",Charges!L113="L",Charges!L113="XL"),0,1)+IF(OR(Charges!M113="",AND(ISNUMBER(Charges!M113),Charges!M113&gt;=0),Charges!M113="S",Charges!M113="M",Charges!M113="L",Charges!M113="XL"),0,1)+IF(OR(Charges!N113="",AND(ISNUMBER(Charges!N113),Charges!N113&gt;=0),Charges!N113="S",Charges!N113="M",Charges!N113="L",Charges!N113="XL"),0,1)+IF(OR(Charges!O113="",AND(ISNUMBER(Charges!O113),Charges!O113&gt;=0),Charges!O113="S",Charges!O113="M",Charges!O113="L",Charges!O113="XL"),0,1)+IF(OR(Charges!P113="",AND(ISNUMBER(Charges!P113),Charges!P113&gt;=0),Charges!P113="S",Charges!P113="M",Charges!P113="L",Charges!P113="XL"),0,1)+IF(OR(Charges!Q113="",AND(ISNUMBER(Charges!Q113),Charges!Q113&gt;=0),Charges!Q113="S",Charges!Q113="M",Charges!Q113="L",Charges!Q113="XL"),0,1)+IF(OR(Charges!R113="",AND(ISNUMBER(Charges!R113),Charges!R113&gt;=0),Charges!R113="S",Charges!R113="M",Charges!R113="L",Charges!R113="XL"),0,1)</f>
        <v>0</v>
      </c>
      <c r="U113" t="n">
        <f>IF(AND(1&gt;Paramètres!$B$9,Charges!F113&lt;&gt;"",Charges!F113&lt;&gt;0),1,0)+IF(AND(2&gt;Paramètres!$B$9,Charges!G113&lt;&gt;"",Charges!G113&lt;&gt;0),1,0)+IF(AND(3&gt;Paramètres!$B$9,Charges!H113&lt;&gt;"",Charges!H113&lt;&gt;0),1,0)+IF(AND(4&gt;Paramètres!$B$9,Charges!I113&lt;&gt;"",Charges!I113&lt;&gt;0),1,0)+IF(AND(5&gt;Paramètres!$B$9,Charges!J113&lt;&gt;"",Charges!J113&lt;&gt;0),1,0)+IF(AND(6&gt;Paramètres!$B$9,Charges!K113&lt;&gt;"",Charges!K113&lt;&gt;0),1,0)+IF(AND(7&gt;Paramètres!$B$9,Charges!L113&lt;&gt;"",Charges!L113&lt;&gt;0),1,0)+IF(AND(8&gt;Paramètres!$B$9,Charges!M113&lt;&gt;"",Charges!M113&lt;&gt;0),1,0)+IF(AND(9&gt;Paramètres!$B$9,Charges!N113&lt;&gt;"",Charges!N113&lt;&gt;0),1,0)+IF(AND(10&gt;Paramètres!$B$9,Charges!O113&lt;&gt;"",Charges!O113&lt;&gt;0),1,0)+IF(AND(11&gt;Paramètres!$B$9,Charges!P113&lt;&gt;"",Charges!P113&lt;&gt;0),1,0)+IF(AND(12&gt;Paramètres!$B$9,Charges!Q113&lt;&gt;"",Charges!Q113&lt;&gt;0),1,0)+IF(AND(13&gt;Paramètres!$B$9,Charges!R113&lt;&gt;"",Charges!R113&lt;&gt;0),1,0)</f>
        <v>0</v>
      </c>
      <c r="V113" t="n">
        <f>IF(IFERROR(VLOOKUP(A113,'Projets'!$A$8:$Z$67,5,FALSE),"")="Engager",1,0)</f>
        <v>0</v>
      </c>
      <c r="W113" t="n">
        <f>IF(IFERROR(VLOOKUP(A113,'Projets'!$A$8:$Z$67,6,FALSE),"")="Engager",1,0)</f>
        <v>0</v>
      </c>
      <c r="X113" t="n">
        <f>E113*S113</f>
        <v>0</v>
      </c>
      <c r="Y113" t="n">
        <f>F113*S113</f>
        <v>0</v>
      </c>
      <c r="Z113" t="n">
        <f>G113*S113</f>
        <v>0</v>
      </c>
      <c r="AA113" t="n">
        <f>H113*S113</f>
        <v>0</v>
      </c>
      <c r="AB113" t="n">
        <f>I113*S113</f>
        <v>0</v>
      </c>
      <c r="AC113" t="n">
        <f>J113*S113</f>
        <v>0</v>
      </c>
      <c r="AD113" t="n">
        <f>K113*S113</f>
        <v>0</v>
      </c>
      <c r="AE113" t="n">
        <f>L113*S113</f>
        <v>0</v>
      </c>
      <c r="AF113" t="n">
        <f>M113*S113</f>
        <v>0</v>
      </c>
      <c r="AG113" t="n">
        <f>N113*S113</f>
        <v>0</v>
      </c>
      <c r="AH113" t="n">
        <f>O113*S113</f>
        <v>0</v>
      </c>
      <c r="AI113" t="n">
        <f>P113*S113</f>
        <v>0</v>
      </c>
      <c r="AJ113" t="n">
        <f>Q113*S113</f>
        <v>0</v>
      </c>
      <c r="AK113" t="n">
        <f>E113*V113</f>
        <v>0</v>
      </c>
      <c r="AL113" t="n">
        <f>F113*V113</f>
        <v>0</v>
      </c>
      <c r="AM113" t="n">
        <f>G113*V113</f>
        <v>0</v>
      </c>
      <c r="AN113" t="n">
        <f>H113*V113</f>
        <v>0</v>
      </c>
      <c r="AO113" t="n">
        <f>I113*V113</f>
        <v>0</v>
      </c>
      <c r="AP113" t="n">
        <f>J113*V113</f>
        <v>0</v>
      </c>
      <c r="AQ113" t="n">
        <f>K113*V113</f>
        <v>0</v>
      </c>
      <c r="AR113" t="n">
        <f>L113*V113</f>
        <v>0</v>
      </c>
      <c r="AS113" t="n">
        <f>M113*V113</f>
        <v>0</v>
      </c>
      <c r="AT113" t="n">
        <f>N113*V113</f>
        <v>0</v>
      </c>
      <c r="AU113" t="n">
        <f>O113*V113</f>
        <v>0</v>
      </c>
      <c r="AV113" t="n">
        <f>P113*V113</f>
        <v>0</v>
      </c>
      <c r="AW113" t="n">
        <f>Q113*V113</f>
        <v>0</v>
      </c>
      <c r="AX113" t="n">
        <f>E113*W113</f>
        <v>0</v>
      </c>
      <c r="AY113" t="n">
        <f>F113*W113</f>
        <v>0</v>
      </c>
      <c r="AZ113" t="n">
        <f>G113*W113</f>
        <v>0</v>
      </c>
      <c r="BA113" t="n">
        <f>H113*W113</f>
        <v>0</v>
      </c>
      <c r="BB113" t="n">
        <f>I113*W113</f>
        <v>0</v>
      </c>
      <c r="BC113" t="n">
        <f>J113*W113</f>
        <v>0</v>
      </c>
      <c r="BD113" t="n">
        <f>K113*W113</f>
        <v>0</v>
      </c>
      <c r="BE113" t="n">
        <f>L113*W113</f>
        <v>0</v>
      </c>
      <c r="BF113" t="n">
        <f>M113*W113</f>
        <v>0</v>
      </c>
      <c r="BG113" t="n">
        <f>N113*W113</f>
        <v>0</v>
      </c>
      <c r="BH113" t="n">
        <f>O113*W113</f>
        <v>0</v>
      </c>
      <c r="BI113" t="n">
        <f>P113*W113</f>
        <v>0</v>
      </c>
      <c r="BJ113" t="n">
        <f>Q113*W113</f>
        <v>0</v>
      </c>
    </row>
    <row r="114">
      <c r="A114" t="n">
        <f>Charges!A114</f>
        <v>0</v>
      </c>
      <c r="B114" t="n">
        <f>Charges!C114</f>
        <v>0</v>
      </c>
      <c r="C114" t="str">
        <f>Charges!D114</f>
        <v/>
      </c>
      <c r="E114" t="n">
        <f>IF(1&lt;=Paramètres!$B$9,MAX(0,IFERROR(N(IF(ISNUMBER(Charges!F114),MAX(0,Charges!F114),IFERROR(VLOOKUP(Charges!F114,Paramètres!$A$15:$B$18,2,FALSE),0))),0)),0)</f>
        <v>0</v>
      </c>
      <c r="F114" t="n">
        <f>IF(2&lt;=Paramètres!$B$9,MAX(0,IFERROR(N(IF(ISNUMBER(Charges!G114),MAX(0,Charges!G114),IFERROR(VLOOKUP(Charges!G114,Paramètres!$A$15:$B$18,2,FALSE),0))),0)),0)</f>
        <v>0</v>
      </c>
      <c r="G114" t="n">
        <f>IF(3&lt;=Paramètres!$B$9,MAX(0,IFERROR(N(IF(ISNUMBER(Charges!H114),MAX(0,Charges!H114),IFERROR(VLOOKUP(Charges!H114,Paramètres!$A$15:$B$18,2,FALSE),0))),0)),0)</f>
        <v>0</v>
      </c>
      <c r="H114" t="n">
        <f>IF(4&lt;=Paramètres!$B$9,MAX(0,IFERROR(N(IF(ISNUMBER(Charges!I114),MAX(0,Charges!I114),IFERROR(VLOOKUP(Charges!I114,Paramètres!$A$15:$B$18,2,FALSE),0))),0)),0)</f>
        <v>0</v>
      </c>
      <c r="I114" t="n">
        <f>IF(5&lt;=Paramètres!$B$9,MAX(0,IFERROR(N(IF(ISNUMBER(Charges!J114),MAX(0,Charges!J114),IFERROR(VLOOKUP(Charges!J114,Paramètres!$A$15:$B$18,2,FALSE),0))),0)),0)</f>
        <v>0</v>
      </c>
      <c r="J114" t="n">
        <f>IF(6&lt;=Paramètres!$B$9,MAX(0,IFERROR(N(IF(ISNUMBER(Charges!K114),MAX(0,Charges!K114),IFERROR(VLOOKUP(Charges!K114,Paramètres!$A$15:$B$18,2,FALSE),0))),0)),0)</f>
        <v>0</v>
      </c>
      <c r="K114" t="n">
        <f>IF(7&lt;=Paramètres!$B$9,MAX(0,IFERROR(N(IF(ISNUMBER(Charges!L114),MAX(0,Charges!L114),IFERROR(VLOOKUP(Charges!L114,Paramètres!$A$15:$B$18,2,FALSE),0))),0)),0)</f>
        <v>0</v>
      </c>
      <c r="L114" t="n">
        <f>IF(8&lt;=Paramètres!$B$9,MAX(0,IFERROR(N(IF(ISNUMBER(Charges!M114),MAX(0,Charges!M114),IFERROR(VLOOKUP(Charges!M114,Paramètres!$A$15:$B$18,2,FALSE),0))),0)),0)</f>
        <v>0</v>
      </c>
      <c r="M114" t="n">
        <f>IF(9&lt;=Paramètres!$B$9,MAX(0,IFERROR(N(IF(ISNUMBER(Charges!N114),MAX(0,Charges!N114),IFERROR(VLOOKUP(Charges!N114,Paramètres!$A$15:$B$18,2,FALSE),0))),0)),0)</f>
        <v>0</v>
      </c>
      <c r="N114" t="n">
        <f>IF(10&lt;=Paramètres!$B$9,MAX(0,IFERROR(N(IF(ISNUMBER(Charges!O114),MAX(0,Charges!O114),IFERROR(VLOOKUP(Charges!O114,Paramètres!$A$15:$B$18,2,FALSE),0))),0)),0)</f>
        <v>0</v>
      </c>
      <c r="O114" t="n">
        <f>IF(11&lt;=Paramètres!$B$9,MAX(0,IFERROR(N(IF(ISNUMBER(Charges!P114),MAX(0,Charges!P114),IFERROR(VLOOKUP(Charges!P114,Paramètres!$A$15:$B$18,2,FALSE),0))),0)),0)</f>
        <v>0</v>
      </c>
      <c r="P114" t="n">
        <f>IF(12&lt;=Paramètres!$B$9,MAX(0,IFERROR(N(IF(ISNUMBER(Charges!Q114),MAX(0,Charges!Q114),IFERROR(VLOOKUP(Charges!Q114,Paramètres!$A$15:$B$18,2,FALSE),0))),0)),0)</f>
        <v>0</v>
      </c>
      <c r="Q114" t="n">
        <f>IF(13&lt;=Paramètres!$B$9,MAX(0,IFERROR(N(IF(ISNUMBER(Charges!R114),MAX(0,Charges!R114),IFERROR(VLOOKUP(Charges!R114,Paramètres!$A$15:$B$18,2,FALSE),0))),0)),0)</f>
        <v>0</v>
      </c>
      <c r="R114" t="n">
        <f>SUM(E114:Q114)</f>
        <v>0</v>
      </c>
      <c r="S114" t="n">
        <f>IF(IFERROR(VLOOKUP(A114,'Projets'!$A$8:$Z$67,7,FALSE),"")="Engager",1,0)</f>
        <v>0</v>
      </c>
      <c r="T114" t="n">
        <f>IF(OR(Charges!F114="",AND(ISNUMBER(Charges!F114),Charges!F114&gt;=0),Charges!F114="S",Charges!F114="M",Charges!F114="L",Charges!F114="XL"),0,1)+IF(OR(Charges!G114="",AND(ISNUMBER(Charges!G114),Charges!G114&gt;=0),Charges!G114="S",Charges!G114="M",Charges!G114="L",Charges!G114="XL"),0,1)+IF(OR(Charges!H114="",AND(ISNUMBER(Charges!H114),Charges!H114&gt;=0),Charges!H114="S",Charges!H114="M",Charges!H114="L",Charges!H114="XL"),0,1)+IF(OR(Charges!I114="",AND(ISNUMBER(Charges!I114),Charges!I114&gt;=0),Charges!I114="S",Charges!I114="M",Charges!I114="L",Charges!I114="XL"),0,1)+IF(OR(Charges!J114="",AND(ISNUMBER(Charges!J114),Charges!J114&gt;=0),Charges!J114="S",Charges!J114="M",Charges!J114="L",Charges!J114="XL"),0,1)+IF(OR(Charges!K114="",AND(ISNUMBER(Charges!K114),Charges!K114&gt;=0),Charges!K114="S",Charges!K114="M",Charges!K114="L",Charges!K114="XL"),0,1)+IF(OR(Charges!L114="",AND(ISNUMBER(Charges!L114),Charges!L114&gt;=0),Charges!L114="S",Charges!L114="M",Charges!L114="L",Charges!L114="XL"),0,1)+IF(OR(Charges!M114="",AND(ISNUMBER(Charges!M114),Charges!M114&gt;=0),Charges!M114="S",Charges!M114="M",Charges!M114="L",Charges!M114="XL"),0,1)+IF(OR(Charges!N114="",AND(ISNUMBER(Charges!N114),Charges!N114&gt;=0),Charges!N114="S",Charges!N114="M",Charges!N114="L",Charges!N114="XL"),0,1)+IF(OR(Charges!O114="",AND(ISNUMBER(Charges!O114),Charges!O114&gt;=0),Charges!O114="S",Charges!O114="M",Charges!O114="L",Charges!O114="XL"),0,1)+IF(OR(Charges!P114="",AND(ISNUMBER(Charges!P114),Charges!P114&gt;=0),Charges!P114="S",Charges!P114="M",Charges!P114="L",Charges!P114="XL"),0,1)+IF(OR(Charges!Q114="",AND(ISNUMBER(Charges!Q114),Charges!Q114&gt;=0),Charges!Q114="S",Charges!Q114="M",Charges!Q114="L",Charges!Q114="XL"),0,1)+IF(OR(Charges!R114="",AND(ISNUMBER(Charges!R114),Charges!R114&gt;=0),Charges!R114="S",Charges!R114="M",Charges!R114="L",Charges!R114="XL"),0,1)</f>
        <v>0</v>
      </c>
      <c r="U114" t="n">
        <f>IF(AND(1&gt;Paramètres!$B$9,Charges!F114&lt;&gt;"",Charges!F114&lt;&gt;0),1,0)+IF(AND(2&gt;Paramètres!$B$9,Charges!G114&lt;&gt;"",Charges!G114&lt;&gt;0),1,0)+IF(AND(3&gt;Paramètres!$B$9,Charges!H114&lt;&gt;"",Charges!H114&lt;&gt;0),1,0)+IF(AND(4&gt;Paramètres!$B$9,Charges!I114&lt;&gt;"",Charges!I114&lt;&gt;0),1,0)+IF(AND(5&gt;Paramètres!$B$9,Charges!J114&lt;&gt;"",Charges!J114&lt;&gt;0),1,0)+IF(AND(6&gt;Paramètres!$B$9,Charges!K114&lt;&gt;"",Charges!K114&lt;&gt;0),1,0)+IF(AND(7&gt;Paramètres!$B$9,Charges!L114&lt;&gt;"",Charges!L114&lt;&gt;0),1,0)+IF(AND(8&gt;Paramètres!$B$9,Charges!M114&lt;&gt;"",Charges!M114&lt;&gt;0),1,0)+IF(AND(9&gt;Paramètres!$B$9,Charges!N114&lt;&gt;"",Charges!N114&lt;&gt;0),1,0)+IF(AND(10&gt;Paramètres!$B$9,Charges!O114&lt;&gt;"",Charges!O114&lt;&gt;0),1,0)+IF(AND(11&gt;Paramètres!$B$9,Charges!P114&lt;&gt;"",Charges!P114&lt;&gt;0),1,0)+IF(AND(12&gt;Paramètres!$B$9,Charges!Q114&lt;&gt;"",Charges!Q114&lt;&gt;0),1,0)+IF(AND(13&gt;Paramètres!$B$9,Charges!R114&lt;&gt;"",Charges!R114&lt;&gt;0),1,0)</f>
        <v>0</v>
      </c>
      <c r="V114" t="n">
        <f>IF(IFERROR(VLOOKUP(A114,'Projets'!$A$8:$Z$67,5,FALSE),"")="Engager",1,0)</f>
        <v>0</v>
      </c>
      <c r="W114" t="n">
        <f>IF(IFERROR(VLOOKUP(A114,'Projets'!$A$8:$Z$67,6,FALSE),"")="Engager",1,0)</f>
        <v>0</v>
      </c>
      <c r="X114" t="n">
        <f>E114*S114</f>
        <v>0</v>
      </c>
      <c r="Y114" t="n">
        <f>F114*S114</f>
        <v>0</v>
      </c>
      <c r="Z114" t="n">
        <f>G114*S114</f>
        <v>0</v>
      </c>
      <c r="AA114" t="n">
        <f>H114*S114</f>
        <v>0</v>
      </c>
      <c r="AB114" t="n">
        <f>I114*S114</f>
        <v>0</v>
      </c>
      <c r="AC114" t="n">
        <f>J114*S114</f>
        <v>0</v>
      </c>
      <c r="AD114" t="n">
        <f>K114*S114</f>
        <v>0</v>
      </c>
      <c r="AE114" t="n">
        <f>L114*S114</f>
        <v>0</v>
      </c>
      <c r="AF114" t="n">
        <f>M114*S114</f>
        <v>0</v>
      </c>
      <c r="AG114" t="n">
        <f>N114*S114</f>
        <v>0</v>
      </c>
      <c r="AH114" t="n">
        <f>O114*S114</f>
        <v>0</v>
      </c>
      <c r="AI114" t="n">
        <f>P114*S114</f>
        <v>0</v>
      </c>
      <c r="AJ114" t="n">
        <f>Q114*S114</f>
        <v>0</v>
      </c>
      <c r="AK114" t="n">
        <f>E114*V114</f>
        <v>0</v>
      </c>
      <c r="AL114" t="n">
        <f>F114*V114</f>
        <v>0</v>
      </c>
      <c r="AM114" t="n">
        <f>G114*V114</f>
        <v>0</v>
      </c>
      <c r="AN114" t="n">
        <f>H114*V114</f>
        <v>0</v>
      </c>
      <c r="AO114" t="n">
        <f>I114*V114</f>
        <v>0</v>
      </c>
      <c r="AP114" t="n">
        <f>J114*V114</f>
        <v>0</v>
      </c>
      <c r="AQ114" t="n">
        <f>K114*V114</f>
        <v>0</v>
      </c>
      <c r="AR114" t="n">
        <f>L114*V114</f>
        <v>0</v>
      </c>
      <c r="AS114" t="n">
        <f>M114*V114</f>
        <v>0</v>
      </c>
      <c r="AT114" t="n">
        <f>N114*V114</f>
        <v>0</v>
      </c>
      <c r="AU114" t="n">
        <f>O114*V114</f>
        <v>0</v>
      </c>
      <c r="AV114" t="n">
        <f>P114*V114</f>
        <v>0</v>
      </c>
      <c r="AW114" t="n">
        <f>Q114*V114</f>
        <v>0</v>
      </c>
      <c r="AX114" t="n">
        <f>E114*W114</f>
        <v>0</v>
      </c>
      <c r="AY114" t="n">
        <f>F114*W114</f>
        <v>0</v>
      </c>
      <c r="AZ114" t="n">
        <f>G114*W114</f>
        <v>0</v>
      </c>
      <c r="BA114" t="n">
        <f>H114*W114</f>
        <v>0</v>
      </c>
      <c r="BB114" t="n">
        <f>I114*W114</f>
        <v>0</v>
      </c>
      <c r="BC114" t="n">
        <f>J114*W114</f>
        <v>0</v>
      </c>
      <c r="BD114" t="n">
        <f>K114*W114</f>
        <v>0</v>
      </c>
      <c r="BE114" t="n">
        <f>L114*W114</f>
        <v>0</v>
      </c>
      <c r="BF114" t="n">
        <f>M114*W114</f>
        <v>0</v>
      </c>
      <c r="BG114" t="n">
        <f>N114*W114</f>
        <v>0</v>
      </c>
      <c r="BH114" t="n">
        <f>O114*W114</f>
        <v>0</v>
      </c>
      <c r="BI114" t="n">
        <f>P114*W114</f>
        <v>0</v>
      </c>
      <c r="BJ114" t="n">
        <f>Q114*W114</f>
        <v>0</v>
      </c>
    </row>
    <row r="115">
      <c r="A115" t="n">
        <f>Charges!A115</f>
        <v>0</v>
      </c>
      <c r="B115" t="n">
        <f>Charges!C115</f>
        <v>0</v>
      </c>
      <c r="C115" t="str">
        <f>Charges!D115</f>
        <v/>
      </c>
      <c r="E115" t="n">
        <f>IF(1&lt;=Paramètres!$B$9,MAX(0,IFERROR(N(IF(ISNUMBER(Charges!F115),MAX(0,Charges!F115),IFERROR(VLOOKUP(Charges!F115,Paramètres!$A$15:$B$18,2,FALSE),0))),0)),0)</f>
        <v>0</v>
      </c>
      <c r="F115" t="n">
        <f>IF(2&lt;=Paramètres!$B$9,MAX(0,IFERROR(N(IF(ISNUMBER(Charges!G115),MAX(0,Charges!G115),IFERROR(VLOOKUP(Charges!G115,Paramètres!$A$15:$B$18,2,FALSE),0))),0)),0)</f>
        <v>0</v>
      </c>
      <c r="G115" t="n">
        <f>IF(3&lt;=Paramètres!$B$9,MAX(0,IFERROR(N(IF(ISNUMBER(Charges!H115),MAX(0,Charges!H115),IFERROR(VLOOKUP(Charges!H115,Paramètres!$A$15:$B$18,2,FALSE),0))),0)),0)</f>
        <v>0</v>
      </c>
      <c r="H115" t="n">
        <f>IF(4&lt;=Paramètres!$B$9,MAX(0,IFERROR(N(IF(ISNUMBER(Charges!I115),MAX(0,Charges!I115),IFERROR(VLOOKUP(Charges!I115,Paramètres!$A$15:$B$18,2,FALSE),0))),0)),0)</f>
        <v>0</v>
      </c>
      <c r="I115" t="n">
        <f>IF(5&lt;=Paramètres!$B$9,MAX(0,IFERROR(N(IF(ISNUMBER(Charges!J115),MAX(0,Charges!J115),IFERROR(VLOOKUP(Charges!J115,Paramètres!$A$15:$B$18,2,FALSE),0))),0)),0)</f>
        <v>0</v>
      </c>
      <c r="J115" t="n">
        <f>IF(6&lt;=Paramètres!$B$9,MAX(0,IFERROR(N(IF(ISNUMBER(Charges!K115),MAX(0,Charges!K115),IFERROR(VLOOKUP(Charges!K115,Paramètres!$A$15:$B$18,2,FALSE),0))),0)),0)</f>
        <v>0</v>
      </c>
      <c r="K115" t="n">
        <f>IF(7&lt;=Paramètres!$B$9,MAX(0,IFERROR(N(IF(ISNUMBER(Charges!L115),MAX(0,Charges!L115),IFERROR(VLOOKUP(Charges!L115,Paramètres!$A$15:$B$18,2,FALSE),0))),0)),0)</f>
        <v>0</v>
      </c>
      <c r="L115" t="n">
        <f>IF(8&lt;=Paramètres!$B$9,MAX(0,IFERROR(N(IF(ISNUMBER(Charges!M115),MAX(0,Charges!M115),IFERROR(VLOOKUP(Charges!M115,Paramètres!$A$15:$B$18,2,FALSE),0))),0)),0)</f>
        <v>0</v>
      </c>
      <c r="M115" t="n">
        <f>IF(9&lt;=Paramètres!$B$9,MAX(0,IFERROR(N(IF(ISNUMBER(Charges!N115),MAX(0,Charges!N115),IFERROR(VLOOKUP(Charges!N115,Paramètres!$A$15:$B$18,2,FALSE),0))),0)),0)</f>
        <v>0</v>
      </c>
      <c r="N115" t="n">
        <f>IF(10&lt;=Paramètres!$B$9,MAX(0,IFERROR(N(IF(ISNUMBER(Charges!O115),MAX(0,Charges!O115),IFERROR(VLOOKUP(Charges!O115,Paramètres!$A$15:$B$18,2,FALSE),0))),0)),0)</f>
        <v>0</v>
      </c>
      <c r="O115" t="n">
        <f>IF(11&lt;=Paramètres!$B$9,MAX(0,IFERROR(N(IF(ISNUMBER(Charges!P115),MAX(0,Charges!P115),IFERROR(VLOOKUP(Charges!P115,Paramètres!$A$15:$B$18,2,FALSE),0))),0)),0)</f>
        <v>0</v>
      </c>
      <c r="P115" t="n">
        <f>IF(12&lt;=Paramètres!$B$9,MAX(0,IFERROR(N(IF(ISNUMBER(Charges!Q115),MAX(0,Charges!Q115),IFERROR(VLOOKUP(Charges!Q115,Paramètres!$A$15:$B$18,2,FALSE),0))),0)),0)</f>
        <v>0</v>
      </c>
      <c r="Q115" t="n">
        <f>IF(13&lt;=Paramètres!$B$9,MAX(0,IFERROR(N(IF(ISNUMBER(Charges!R115),MAX(0,Charges!R115),IFERROR(VLOOKUP(Charges!R115,Paramètres!$A$15:$B$18,2,FALSE),0))),0)),0)</f>
        <v>0</v>
      </c>
      <c r="R115" t="n">
        <f>SUM(E115:Q115)</f>
        <v>0</v>
      </c>
      <c r="S115" t="n">
        <f>IF(IFERROR(VLOOKUP(A115,'Projets'!$A$8:$Z$67,7,FALSE),"")="Engager",1,0)</f>
        <v>0</v>
      </c>
      <c r="T115" t="n">
        <f>IF(OR(Charges!F115="",AND(ISNUMBER(Charges!F115),Charges!F115&gt;=0),Charges!F115="S",Charges!F115="M",Charges!F115="L",Charges!F115="XL"),0,1)+IF(OR(Charges!G115="",AND(ISNUMBER(Charges!G115),Charges!G115&gt;=0),Charges!G115="S",Charges!G115="M",Charges!G115="L",Charges!G115="XL"),0,1)+IF(OR(Charges!H115="",AND(ISNUMBER(Charges!H115),Charges!H115&gt;=0),Charges!H115="S",Charges!H115="M",Charges!H115="L",Charges!H115="XL"),0,1)+IF(OR(Charges!I115="",AND(ISNUMBER(Charges!I115),Charges!I115&gt;=0),Charges!I115="S",Charges!I115="M",Charges!I115="L",Charges!I115="XL"),0,1)+IF(OR(Charges!J115="",AND(ISNUMBER(Charges!J115),Charges!J115&gt;=0),Charges!J115="S",Charges!J115="M",Charges!J115="L",Charges!J115="XL"),0,1)+IF(OR(Charges!K115="",AND(ISNUMBER(Charges!K115),Charges!K115&gt;=0),Charges!K115="S",Charges!K115="M",Charges!K115="L",Charges!K115="XL"),0,1)+IF(OR(Charges!L115="",AND(ISNUMBER(Charges!L115),Charges!L115&gt;=0),Charges!L115="S",Charges!L115="M",Charges!L115="L",Charges!L115="XL"),0,1)+IF(OR(Charges!M115="",AND(ISNUMBER(Charges!M115),Charges!M115&gt;=0),Charges!M115="S",Charges!M115="M",Charges!M115="L",Charges!M115="XL"),0,1)+IF(OR(Charges!N115="",AND(ISNUMBER(Charges!N115),Charges!N115&gt;=0),Charges!N115="S",Charges!N115="M",Charges!N115="L",Charges!N115="XL"),0,1)+IF(OR(Charges!O115="",AND(ISNUMBER(Charges!O115),Charges!O115&gt;=0),Charges!O115="S",Charges!O115="M",Charges!O115="L",Charges!O115="XL"),0,1)+IF(OR(Charges!P115="",AND(ISNUMBER(Charges!P115),Charges!P115&gt;=0),Charges!P115="S",Charges!P115="M",Charges!P115="L",Charges!P115="XL"),0,1)+IF(OR(Charges!Q115="",AND(ISNUMBER(Charges!Q115),Charges!Q115&gt;=0),Charges!Q115="S",Charges!Q115="M",Charges!Q115="L",Charges!Q115="XL"),0,1)+IF(OR(Charges!R115="",AND(ISNUMBER(Charges!R115),Charges!R115&gt;=0),Charges!R115="S",Charges!R115="M",Charges!R115="L",Charges!R115="XL"),0,1)</f>
        <v>0</v>
      </c>
      <c r="U115" t="n">
        <f>IF(AND(1&gt;Paramètres!$B$9,Charges!F115&lt;&gt;"",Charges!F115&lt;&gt;0),1,0)+IF(AND(2&gt;Paramètres!$B$9,Charges!G115&lt;&gt;"",Charges!G115&lt;&gt;0),1,0)+IF(AND(3&gt;Paramètres!$B$9,Charges!H115&lt;&gt;"",Charges!H115&lt;&gt;0),1,0)+IF(AND(4&gt;Paramètres!$B$9,Charges!I115&lt;&gt;"",Charges!I115&lt;&gt;0),1,0)+IF(AND(5&gt;Paramètres!$B$9,Charges!J115&lt;&gt;"",Charges!J115&lt;&gt;0),1,0)+IF(AND(6&gt;Paramètres!$B$9,Charges!K115&lt;&gt;"",Charges!K115&lt;&gt;0),1,0)+IF(AND(7&gt;Paramètres!$B$9,Charges!L115&lt;&gt;"",Charges!L115&lt;&gt;0),1,0)+IF(AND(8&gt;Paramètres!$B$9,Charges!M115&lt;&gt;"",Charges!M115&lt;&gt;0),1,0)+IF(AND(9&gt;Paramètres!$B$9,Charges!N115&lt;&gt;"",Charges!N115&lt;&gt;0),1,0)+IF(AND(10&gt;Paramètres!$B$9,Charges!O115&lt;&gt;"",Charges!O115&lt;&gt;0),1,0)+IF(AND(11&gt;Paramètres!$B$9,Charges!P115&lt;&gt;"",Charges!P115&lt;&gt;0),1,0)+IF(AND(12&gt;Paramètres!$B$9,Charges!Q115&lt;&gt;"",Charges!Q115&lt;&gt;0),1,0)+IF(AND(13&gt;Paramètres!$B$9,Charges!R115&lt;&gt;"",Charges!R115&lt;&gt;0),1,0)</f>
        <v>0</v>
      </c>
      <c r="V115" t="n">
        <f>IF(IFERROR(VLOOKUP(A115,'Projets'!$A$8:$Z$67,5,FALSE),"")="Engager",1,0)</f>
        <v>0</v>
      </c>
      <c r="W115" t="n">
        <f>IF(IFERROR(VLOOKUP(A115,'Projets'!$A$8:$Z$67,6,FALSE),"")="Engager",1,0)</f>
        <v>0</v>
      </c>
      <c r="X115" t="n">
        <f>E115*S115</f>
        <v>0</v>
      </c>
      <c r="Y115" t="n">
        <f>F115*S115</f>
        <v>0</v>
      </c>
      <c r="Z115" t="n">
        <f>G115*S115</f>
        <v>0</v>
      </c>
      <c r="AA115" t="n">
        <f>H115*S115</f>
        <v>0</v>
      </c>
      <c r="AB115" t="n">
        <f>I115*S115</f>
        <v>0</v>
      </c>
      <c r="AC115" t="n">
        <f>J115*S115</f>
        <v>0</v>
      </c>
      <c r="AD115" t="n">
        <f>K115*S115</f>
        <v>0</v>
      </c>
      <c r="AE115" t="n">
        <f>L115*S115</f>
        <v>0</v>
      </c>
      <c r="AF115" t="n">
        <f>M115*S115</f>
        <v>0</v>
      </c>
      <c r="AG115" t="n">
        <f>N115*S115</f>
        <v>0</v>
      </c>
      <c r="AH115" t="n">
        <f>O115*S115</f>
        <v>0</v>
      </c>
      <c r="AI115" t="n">
        <f>P115*S115</f>
        <v>0</v>
      </c>
      <c r="AJ115" t="n">
        <f>Q115*S115</f>
        <v>0</v>
      </c>
      <c r="AK115" t="n">
        <f>E115*V115</f>
        <v>0</v>
      </c>
      <c r="AL115" t="n">
        <f>F115*V115</f>
        <v>0</v>
      </c>
      <c r="AM115" t="n">
        <f>G115*V115</f>
        <v>0</v>
      </c>
      <c r="AN115" t="n">
        <f>H115*V115</f>
        <v>0</v>
      </c>
      <c r="AO115" t="n">
        <f>I115*V115</f>
        <v>0</v>
      </c>
      <c r="AP115" t="n">
        <f>J115*V115</f>
        <v>0</v>
      </c>
      <c r="AQ115" t="n">
        <f>K115*V115</f>
        <v>0</v>
      </c>
      <c r="AR115" t="n">
        <f>L115*V115</f>
        <v>0</v>
      </c>
      <c r="AS115" t="n">
        <f>M115*V115</f>
        <v>0</v>
      </c>
      <c r="AT115" t="n">
        <f>N115*V115</f>
        <v>0</v>
      </c>
      <c r="AU115" t="n">
        <f>O115*V115</f>
        <v>0</v>
      </c>
      <c r="AV115" t="n">
        <f>P115*V115</f>
        <v>0</v>
      </c>
      <c r="AW115" t="n">
        <f>Q115*V115</f>
        <v>0</v>
      </c>
      <c r="AX115" t="n">
        <f>E115*W115</f>
        <v>0</v>
      </c>
      <c r="AY115" t="n">
        <f>F115*W115</f>
        <v>0</v>
      </c>
      <c r="AZ115" t="n">
        <f>G115*W115</f>
        <v>0</v>
      </c>
      <c r="BA115" t="n">
        <f>H115*W115</f>
        <v>0</v>
      </c>
      <c r="BB115" t="n">
        <f>I115*W115</f>
        <v>0</v>
      </c>
      <c r="BC115" t="n">
        <f>J115*W115</f>
        <v>0</v>
      </c>
      <c r="BD115" t="n">
        <f>K115*W115</f>
        <v>0</v>
      </c>
      <c r="BE115" t="n">
        <f>L115*W115</f>
        <v>0</v>
      </c>
      <c r="BF115" t="n">
        <f>M115*W115</f>
        <v>0</v>
      </c>
      <c r="BG115" t="n">
        <f>N115*W115</f>
        <v>0</v>
      </c>
      <c r="BH115" t="n">
        <f>O115*W115</f>
        <v>0</v>
      </c>
      <c r="BI115" t="n">
        <f>P115*W115</f>
        <v>0</v>
      </c>
      <c r="BJ115" t="n">
        <f>Q115*W115</f>
        <v>0</v>
      </c>
    </row>
    <row r="116">
      <c r="A116" t="n">
        <f>Charges!A116</f>
        <v>0</v>
      </c>
      <c r="B116" t="n">
        <f>Charges!C116</f>
        <v>0</v>
      </c>
      <c r="C116" t="str">
        <f>Charges!D116</f>
        <v/>
      </c>
      <c r="E116" t="n">
        <f>IF(1&lt;=Paramètres!$B$9,MAX(0,IFERROR(N(IF(ISNUMBER(Charges!F116),MAX(0,Charges!F116),IFERROR(VLOOKUP(Charges!F116,Paramètres!$A$15:$B$18,2,FALSE),0))),0)),0)</f>
        <v>0</v>
      </c>
      <c r="F116" t="n">
        <f>IF(2&lt;=Paramètres!$B$9,MAX(0,IFERROR(N(IF(ISNUMBER(Charges!G116),MAX(0,Charges!G116),IFERROR(VLOOKUP(Charges!G116,Paramètres!$A$15:$B$18,2,FALSE),0))),0)),0)</f>
        <v>0</v>
      </c>
      <c r="G116" t="n">
        <f>IF(3&lt;=Paramètres!$B$9,MAX(0,IFERROR(N(IF(ISNUMBER(Charges!H116),MAX(0,Charges!H116),IFERROR(VLOOKUP(Charges!H116,Paramètres!$A$15:$B$18,2,FALSE),0))),0)),0)</f>
        <v>0</v>
      </c>
      <c r="H116" t="n">
        <f>IF(4&lt;=Paramètres!$B$9,MAX(0,IFERROR(N(IF(ISNUMBER(Charges!I116),MAX(0,Charges!I116),IFERROR(VLOOKUP(Charges!I116,Paramètres!$A$15:$B$18,2,FALSE),0))),0)),0)</f>
        <v>0</v>
      </c>
      <c r="I116" t="n">
        <f>IF(5&lt;=Paramètres!$B$9,MAX(0,IFERROR(N(IF(ISNUMBER(Charges!J116),MAX(0,Charges!J116),IFERROR(VLOOKUP(Charges!J116,Paramètres!$A$15:$B$18,2,FALSE),0))),0)),0)</f>
        <v>0</v>
      </c>
      <c r="J116" t="n">
        <f>IF(6&lt;=Paramètres!$B$9,MAX(0,IFERROR(N(IF(ISNUMBER(Charges!K116),MAX(0,Charges!K116),IFERROR(VLOOKUP(Charges!K116,Paramètres!$A$15:$B$18,2,FALSE),0))),0)),0)</f>
        <v>0</v>
      </c>
      <c r="K116" t="n">
        <f>IF(7&lt;=Paramètres!$B$9,MAX(0,IFERROR(N(IF(ISNUMBER(Charges!L116),MAX(0,Charges!L116),IFERROR(VLOOKUP(Charges!L116,Paramètres!$A$15:$B$18,2,FALSE),0))),0)),0)</f>
        <v>0</v>
      </c>
      <c r="L116" t="n">
        <f>IF(8&lt;=Paramètres!$B$9,MAX(0,IFERROR(N(IF(ISNUMBER(Charges!M116),MAX(0,Charges!M116),IFERROR(VLOOKUP(Charges!M116,Paramètres!$A$15:$B$18,2,FALSE),0))),0)),0)</f>
        <v>0</v>
      </c>
      <c r="M116" t="n">
        <f>IF(9&lt;=Paramètres!$B$9,MAX(0,IFERROR(N(IF(ISNUMBER(Charges!N116),MAX(0,Charges!N116),IFERROR(VLOOKUP(Charges!N116,Paramètres!$A$15:$B$18,2,FALSE),0))),0)),0)</f>
        <v>0</v>
      </c>
      <c r="N116" t="n">
        <f>IF(10&lt;=Paramètres!$B$9,MAX(0,IFERROR(N(IF(ISNUMBER(Charges!O116),MAX(0,Charges!O116),IFERROR(VLOOKUP(Charges!O116,Paramètres!$A$15:$B$18,2,FALSE),0))),0)),0)</f>
        <v>0</v>
      </c>
      <c r="O116" t="n">
        <f>IF(11&lt;=Paramètres!$B$9,MAX(0,IFERROR(N(IF(ISNUMBER(Charges!P116),MAX(0,Charges!P116),IFERROR(VLOOKUP(Charges!P116,Paramètres!$A$15:$B$18,2,FALSE),0))),0)),0)</f>
        <v>0</v>
      </c>
      <c r="P116" t="n">
        <f>IF(12&lt;=Paramètres!$B$9,MAX(0,IFERROR(N(IF(ISNUMBER(Charges!Q116),MAX(0,Charges!Q116),IFERROR(VLOOKUP(Charges!Q116,Paramètres!$A$15:$B$18,2,FALSE),0))),0)),0)</f>
        <v>0</v>
      </c>
      <c r="Q116" t="n">
        <f>IF(13&lt;=Paramètres!$B$9,MAX(0,IFERROR(N(IF(ISNUMBER(Charges!R116),MAX(0,Charges!R116),IFERROR(VLOOKUP(Charges!R116,Paramètres!$A$15:$B$18,2,FALSE),0))),0)),0)</f>
        <v>0</v>
      </c>
      <c r="R116" t="n">
        <f>SUM(E116:Q116)</f>
        <v>0</v>
      </c>
      <c r="S116" t="n">
        <f>IF(IFERROR(VLOOKUP(A116,'Projets'!$A$8:$Z$67,7,FALSE),"")="Engager",1,0)</f>
        <v>0</v>
      </c>
      <c r="T116" t="n">
        <f>IF(OR(Charges!F116="",AND(ISNUMBER(Charges!F116),Charges!F116&gt;=0),Charges!F116="S",Charges!F116="M",Charges!F116="L",Charges!F116="XL"),0,1)+IF(OR(Charges!G116="",AND(ISNUMBER(Charges!G116),Charges!G116&gt;=0),Charges!G116="S",Charges!G116="M",Charges!G116="L",Charges!G116="XL"),0,1)+IF(OR(Charges!H116="",AND(ISNUMBER(Charges!H116),Charges!H116&gt;=0),Charges!H116="S",Charges!H116="M",Charges!H116="L",Charges!H116="XL"),0,1)+IF(OR(Charges!I116="",AND(ISNUMBER(Charges!I116),Charges!I116&gt;=0),Charges!I116="S",Charges!I116="M",Charges!I116="L",Charges!I116="XL"),0,1)+IF(OR(Charges!J116="",AND(ISNUMBER(Charges!J116),Charges!J116&gt;=0),Charges!J116="S",Charges!J116="M",Charges!J116="L",Charges!J116="XL"),0,1)+IF(OR(Charges!K116="",AND(ISNUMBER(Charges!K116),Charges!K116&gt;=0),Charges!K116="S",Charges!K116="M",Charges!K116="L",Charges!K116="XL"),0,1)+IF(OR(Charges!L116="",AND(ISNUMBER(Charges!L116),Charges!L116&gt;=0),Charges!L116="S",Charges!L116="M",Charges!L116="L",Charges!L116="XL"),0,1)+IF(OR(Charges!M116="",AND(ISNUMBER(Charges!M116),Charges!M116&gt;=0),Charges!M116="S",Charges!M116="M",Charges!M116="L",Charges!M116="XL"),0,1)+IF(OR(Charges!N116="",AND(ISNUMBER(Charges!N116),Charges!N116&gt;=0),Charges!N116="S",Charges!N116="M",Charges!N116="L",Charges!N116="XL"),0,1)+IF(OR(Charges!O116="",AND(ISNUMBER(Charges!O116),Charges!O116&gt;=0),Charges!O116="S",Charges!O116="M",Charges!O116="L",Charges!O116="XL"),0,1)+IF(OR(Charges!P116="",AND(ISNUMBER(Charges!P116),Charges!P116&gt;=0),Charges!P116="S",Charges!P116="M",Charges!P116="L",Charges!P116="XL"),0,1)+IF(OR(Charges!Q116="",AND(ISNUMBER(Charges!Q116),Charges!Q116&gt;=0),Charges!Q116="S",Charges!Q116="M",Charges!Q116="L",Charges!Q116="XL"),0,1)+IF(OR(Charges!R116="",AND(ISNUMBER(Charges!R116),Charges!R116&gt;=0),Charges!R116="S",Charges!R116="M",Charges!R116="L",Charges!R116="XL"),0,1)</f>
        <v>0</v>
      </c>
      <c r="U116" t="n">
        <f>IF(AND(1&gt;Paramètres!$B$9,Charges!F116&lt;&gt;"",Charges!F116&lt;&gt;0),1,0)+IF(AND(2&gt;Paramètres!$B$9,Charges!G116&lt;&gt;"",Charges!G116&lt;&gt;0),1,0)+IF(AND(3&gt;Paramètres!$B$9,Charges!H116&lt;&gt;"",Charges!H116&lt;&gt;0),1,0)+IF(AND(4&gt;Paramètres!$B$9,Charges!I116&lt;&gt;"",Charges!I116&lt;&gt;0),1,0)+IF(AND(5&gt;Paramètres!$B$9,Charges!J116&lt;&gt;"",Charges!J116&lt;&gt;0),1,0)+IF(AND(6&gt;Paramètres!$B$9,Charges!K116&lt;&gt;"",Charges!K116&lt;&gt;0),1,0)+IF(AND(7&gt;Paramètres!$B$9,Charges!L116&lt;&gt;"",Charges!L116&lt;&gt;0),1,0)+IF(AND(8&gt;Paramètres!$B$9,Charges!M116&lt;&gt;"",Charges!M116&lt;&gt;0),1,0)+IF(AND(9&gt;Paramètres!$B$9,Charges!N116&lt;&gt;"",Charges!N116&lt;&gt;0),1,0)+IF(AND(10&gt;Paramètres!$B$9,Charges!O116&lt;&gt;"",Charges!O116&lt;&gt;0),1,0)+IF(AND(11&gt;Paramètres!$B$9,Charges!P116&lt;&gt;"",Charges!P116&lt;&gt;0),1,0)+IF(AND(12&gt;Paramètres!$B$9,Charges!Q116&lt;&gt;"",Charges!Q116&lt;&gt;0),1,0)+IF(AND(13&gt;Paramètres!$B$9,Charges!R116&lt;&gt;"",Charges!R116&lt;&gt;0),1,0)</f>
        <v>0</v>
      </c>
      <c r="V116" t="n">
        <f>IF(IFERROR(VLOOKUP(A116,'Projets'!$A$8:$Z$67,5,FALSE),"")="Engager",1,0)</f>
        <v>0</v>
      </c>
      <c r="W116" t="n">
        <f>IF(IFERROR(VLOOKUP(A116,'Projets'!$A$8:$Z$67,6,FALSE),"")="Engager",1,0)</f>
        <v>0</v>
      </c>
      <c r="X116" t="n">
        <f>E116*S116</f>
        <v>0</v>
      </c>
      <c r="Y116" t="n">
        <f>F116*S116</f>
        <v>0</v>
      </c>
      <c r="Z116" t="n">
        <f>G116*S116</f>
        <v>0</v>
      </c>
      <c r="AA116" t="n">
        <f>H116*S116</f>
        <v>0</v>
      </c>
      <c r="AB116" t="n">
        <f>I116*S116</f>
        <v>0</v>
      </c>
      <c r="AC116" t="n">
        <f>J116*S116</f>
        <v>0</v>
      </c>
      <c r="AD116" t="n">
        <f>K116*S116</f>
        <v>0</v>
      </c>
      <c r="AE116" t="n">
        <f>L116*S116</f>
        <v>0</v>
      </c>
      <c r="AF116" t="n">
        <f>M116*S116</f>
        <v>0</v>
      </c>
      <c r="AG116" t="n">
        <f>N116*S116</f>
        <v>0</v>
      </c>
      <c r="AH116" t="n">
        <f>O116*S116</f>
        <v>0</v>
      </c>
      <c r="AI116" t="n">
        <f>P116*S116</f>
        <v>0</v>
      </c>
      <c r="AJ116" t="n">
        <f>Q116*S116</f>
        <v>0</v>
      </c>
      <c r="AK116" t="n">
        <f>E116*V116</f>
        <v>0</v>
      </c>
      <c r="AL116" t="n">
        <f>F116*V116</f>
        <v>0</v>
      </c>
      <c r="AM116" t="n">
        <f>G116*V116</f>
        <v>0</v>
      </c>
      <c r="AN116" t="n">
        <f>H116*V116</f>
        <v>0</v>
      </c>
      <c r="AO116" t="n">
        <f>I116*V116</f>
        <v>0</v>
      </c>
      <c r="AP116" t="n">
        <f>J116*V116</f>
        <v>0</v>
      </c>
      <c r="AQ116" t="n">
        <f>K116*V116</f>
        <v>0</v>
      </c>
      <c r="AR116" t="n">
        <f>L116*V116</f>
        <v>0</v>
      </c>
      <c r="AS116" t="n">
        <f>M116*V116</f>
        <v>0</v>
      </c>
      <c r="AT116" t="n">
        <f>N116*V116</f>
        <v>0</v>
      </c>
      <c r="AU116" t="n">
        <f>O116*V116</f>
        <v>0</v>
      </c>
      <c r="AV116" t="n">
        <f>P116*V116</f>
        <v>0</v>
      </c>
      <c r="AW116" t="n">
        <f>Q116*V116</f>
        <v>0</v>
      </c>
      <c r="AX116" t="n">
        <f>E116*W116</f>
        <v>0</v>
      </c>
      <c r="AY116" t="n">
        <f>F116*W116</f>
        <v>0</v>
      </c>
      <c r="AZ116" t="n">
        <f>G116*W116</f>
        <v>0</v>
      </c>
      <c r="BA116" t="n">
        <f>H116*W116</f>
        <v>0</v>
      </c>
      <c r="BB116" t="n">
        <f>I116*W116</f>
        <v>0</v>
      </c>
      <c r="BC116" t="n">
        <f>J116*W116</f>
        <v>0</v>
      </c>
      <c r="BD116" t="n">
        <f>K116*W116</f>
        <v>0</v>
      </c>
      <c r="BE116" t="n">
        <f>L116*W116</f>
        <v>0</v>
      </c>
      <c r="BF116" t="n">
        <f>M116*W116</f>
        <v>0</v>
      </c>
      <c r="BG116" t="n">
        <f>N116*W116</f>
        <v>0</v>
      </c>
      <c r="BH116" t="n">
        <f>O116*W116</f>
        <v>0</v>
      </c>
      <c r="BI116" t="n">
        <f>P116*W116</f>
        <v>0</v>
      </c>
      <c r="BJ116" t="n">
        <f>Q116*W116</f>
        <v>0</v>
      </c>
    </row>
    <row r="117">
      <c r="A117" t="n">
        <f>Charges!A117</f>
        <v>0</v>
      </c>
      <c r="B117" t="n">
        <f>Charges!C117</f>
        <v>0</v>
      </c>
      <c r="C117" t="str">
        <f>Charges!D117</f>
        <v/>
      </c>
      <c r="E117" t="n">
        <f>IF(1&lt;=Paramètres!$B$9,MAX(0,IFERROR(N(IF(ISNUMBER(Charges!F117),MAX(0,Charges!F117),IFERROR(VLOOKUP(Charges!F117,Paramètres!$A$15:$B$18,2,FALSE),0))),0)),0)</f>
        <v>0</v>
      </c>
      <c r="F117" t="n">
        <f>IF(2&lt;=Paramètres!$B$9,MAX(0,IFERROR(N(IF(ISNUMBER(Charges!G117),MAX(0,Charges!G117),IFERROR(VLOOKUP(Charges!G117,Paramètres!$A$15:$B$18,2,FALSE),0))),0)),0)</f>
        <v>0</v>
      </c>
      <c r="G117" t="n">
        <f>IF(3&lt;=Paramètres!$B$9,MAX(0,IFERROR(N(IF(ISNUMBER(Charges!H117),MAX(0,Charges!H117),IFERROR(VLOOKUP(Charges!H117,Paramètres!$A$15:$B$18,2,FALSE),0))),0)),0)</f>
        <v>0</v>
      </c>
      <c r="H117" t="n">
        <f>IF(4&lt;=Paramètres!$B$9,MAX(0,IFERROR(N(IF(ISNUMBER(Charges!I117),MAX(0,Charges!I117),IFERROR(VLOOKUP(Charges!I117,Paramètres!$A$15:$B$18,2,FALSE),0))),0)),0)</f>
        <v>0</v>
      </c>
      <c r="I117" t="n">
        <f>IF(5&lt;=Paramètres!$B$9,MAX(0,IFERROR(N(IF(ISNUMBER(Charges!J117),MAX(0,Charges!J117),IFERROR(VLOOKUP(Charges!J117,Paramètres!$A$15:$B$18,2,FALSE),0))),0)),0)</f>
        <v>0</v>
      </c>
      <c r="J117" t="n">
        <f>IF(6&lt;=Paramètres!$B$9,MAX(0,IFERROR(N(IF(ISNUMBER(Charges!K117),MAX(0,Charges!K117),IFERROR(VLOOKUP(Charges!K117,Paramètres!$A$15:$B$18,2,FALSE),0))),0)),0)</f>
        <v>0</v>
      </c>
      <c r="K117" t="n">
        <f>IF(7&lt;=Paramètres!$B$9,MAX(0,IFERROR(N(IF(ISNUMBER(Charges!L117),MAX(0,Charges!L117),IFERROR(VLOOKUP(Charges!L117,Paramètres!$A$15:$B$18,2,FALSE),0))),0)),0)</f>
        <v>0</v>
      </c>
      <c r="L117" t="n">
        <f>IF(8&lt;=Paramètres!$B$9,MAX(0,IFERROR(N(IF(ISNUMBER(Charges!M117),MAX(0,Charges!M117),IFERROR(VLOOKUP(Charges!M117,Paramètres!$A$15:$B$18,2,FALSE),0))),0)),0)</f>
        <v>0</v>
      </c>
      <c r="M117" t="n">
        <f>IF(9&lt;=Paramètres!$B$9,MAX(0,IFERROR(N(IF(ISNUMBER(Charges!N117),MAX(0,Charges!N117),IFERROR(VLOOKUP(Charges!N117,Paramètres!$A$15:$B$18,2,FALSE),0))),0)),0)</f>
        <v>0</v>
      </c>
      <c r="N117" t="n">
        <f>IF(10&lt;=Paramètres!$B$9,MAX(0,IFERROR(N(IF(ISNUMBER(Charges!O117),MAX(0,Charges!O117),IFERROR(VLOOKUP(Charges!O117,Paramètres!$A$15:$B$18,2,FALSE),0))),0)),0)</f>
        <v>0</v>
      </c>
      <c r="O117" t="n">
        <f>IF(11&lt;=Paramètres!$B$9,MAX(0,IFERROR(N(IF(ISNUMBER(Charges!P117),MAX(0,Charges!P117),IFERROR(VLOOKUP(Charges!P117,Paramètres!$A$15:$B$18,2,FALSE),0))),0)),0)</f>
        <v>0</v>
      </c>
      <c r="P117" t="n">
        <f>IF(12&lt;=Paramètres!$B$9,MAX(0,IFERROR(N(IF(ISNUMBER(Charges!Q117),MAX(0,Charges!Q117),IFERROR(VLOOKUP(Charges!Q117,Paramètres!$A$15:$B$18,2,FALSE),0))),0)),0)</f>
        <v>0</v>
      </c>
      <c r="Q117" t="n">
        <f>IF(13&lt;=Paramètres!$B$9,MAX(0,IFERROR(N(IF(ISNUMBER(Charges!R117),MAX(0,Charges!R117),IFERROR(VLOOKUP(Charges!R117,Paramètres!$A$15:$B$18,2,FALSE),0))),0)),0)</f>
        <v>0</v>
      </c>
      <c r="R117" t="n">
        <f>SUM(E117:Q117)</f>
        <v>0</v>
      </c>
      <c r="S117" t="n">
        <f>IF(IFERROR(VLOOKUP(A117,'Projets'!$A$8:$Z$67,7,FALSE),"")="Engager",1,0)</f>
        <v>0</v>
      </c>
      <c r="T117" t="n">
        <f>IF(OR(Charges!F117="",AND(ISNUMBER(Charges!F117),Charges!F117&gt;=0),Charges!F117="S",Charges!F117="M",Charges!F117="L",Charges!F117="XL"),0,1)+IF(OR(Charges!G117="",AND(ISNUMBER(Charges!G117),Charges!G117&gt;=0),Charges!G117="S",Charges!G117="M",Charges!G117="L",Charges!G117="XL"),0,1)+IF(OR(Charges!H117="",AND(ISNUMBER(Charges!H117),Charges!H117&gt;=0),Charges!H117="S",Charges!H117="M",Charges!H117="L",Charges!H117="XL"),0,1)+IF(OR(Charges!I117="",AND(ISNUMBER(Charges!I117),Charges!I117&gt;=0),Charges!I117="S",Charges!I117="M",Charges!I117="L",Charges!I117="XL"),0,1)+IF(OR(Charges!J117="",AND(ISNUMBER(Charges!J117),Charges!J117&gt;=0),Charges!J117="S",Charges!J117="M",Charges!J117="L",Charges!J117="XL"),0,1)+IF(OR(Charges!K117="",AND(ISNUMBER(Charges!K117),Charges!K117&gt;=0),Charges!K117="S",Charges!K117="M",Charges!K117="L",Charges!K117="XL"),0,1)+IF(OR(Charges!L117="",AND(ISNUMBER(Charges!L117),Charges!L117&gt;=0),Charges!L117="S",Charges!L117="M",Charges!L117="L",Charges!L117="XL"),0,1)+IF(OR(Charges!M117="",AND(ISNUMBER(Charges!M117),Charges!M117&gt;=0),Charges!M117="S",Charges!M117="M",Charges!M117="L",Charges!M117="XL"),0,1)+IF(OR(Charges!N117="",AND(ISNUMBER(Charges!N117),Charges!N117&gt;=0),Charges!N117="S",Charges!N117="M",Charges!N117="L",Charges!N117="XL"),0,1)+IF(OR(Charges!O117="",AND(ISNUMBER(Charges!O117),Charges!O117&gt;=0),Charges!O117="S",Charges!O117="M",Charges!O117="L",Charges!O117="XL"),0,1)+IF(OR(Charges!P117="",AND(ISNUMBER(Charges!P117),Charges!P117&gt;=0),Charges!P117="S",Charges!P117="M",Charges!P117="L",Charges!P117="XL"),0,1)+IF(OR(Charges!Q117="",AND(ISNUMBER(Charges!Q117),Charges!Q117&gt;=0),Charges!Q117="S",Charges!Q117="M",Charges!Q117="L",Charges!Q117="XL"),0,1)+IF(OR(Charges!R117="",AND(ISNUMBER(Charges!R117),Charges!R117&gt;=0),Charges!R117="S",Charges!R117="M",Charges!R117="L",Charges!R117="XL"),0,1)</f>
        <v>0</v>
      </c>
      <c r="U117" t="n">
        <f>IF(AND(1&gt;Paramètres!$B$9,Charges!F117&lt;&gt;"",Charges!F117&lt;&gt;0),1,0)+IF(AND(2&gt;Paramètres!$B$9,Charges!G117&lt;&gt;"",Charges!G117&lt;&gt;0),1,0)+IF(AND(3&gt;Paramètres!$B$9,Charges!H117&lt;&gt;"",Charges!H117&lt;&gt;0),1,0)+IF(AND(4&gt;Paramètres!$B$9,Charges!I117&lt;&gt;"",Charges!I117&lt;&gt;0),1,0)+IF(AND(5&gt;Paramètres!$B$9,Charges!J117&lt;&gt;"",Charges!J117&lt;&gt;0),1,0)+IF(AND(6&gt;Paramètres!$B$9,Charges!K117&lt;&gt;"",Charges!K117&lt;&gt;0),1,0)+IF(AND(7&gt;Paramètres!$B$9,Charges!L117&lt;&gt;"",Charges!L117&lt;&gt;0),1,0)+IF(AND(8&gt;Paramètres!$B$9,Charges!M117&lt;&gt;"",Charges!M117&lt;&gt;0),1,0)+IF(AND(9&gt;Paramètres!$B$9,Charges!N117&lt;&gt;"",Charges!N117&lt;&gt;0),1,0)+IF(AND(10&gt;Paramètres!$B$9,Charges!O117&lt;&gt;"",Charges!O117&lt;&gt;0),1,0)+IF(AND(11&gt;Paramètres!$B$9,Charges!P117&lt;&gt;"",Charges!P117&lt;&gt;0),1,0)+IF(AND(12&gt;Paramètres!$B$9,Charges!Q117&lt;&gt;"",Charges!Q117&lt;&gt;0),1,0)+IF(AND(13&gt;Paramètres!$B$9,Charges!R117&lt;&gt;"",Charges!R117&lt;&gt;0),1,0)</f>
        <v>0</v>
      </c>
      <c r="V117" t="n">
        <f>IF(IFERROR(VLOOKUP(A117,'Projets'!$A$8:$Z$67,5,FALSE),"")="Engager",1,0)</f>
        <v>0</v>
      </c>
      <c r="W117" t="n">
        <f>IF(IFERROR(VLOOKUP(A117,'Projets'!$A$8:$Z$67,6,FALSE),"")="Engager",1,0)</f>
        <v>0</v>
      </c>
      <c r="X117" t="n">
        <f>E117*S117</f>
        <v>0</v>
      </c>
      <c r="Y117" t="n">
        <f>F117*S117</f>
        <v>0</v>
      </c>
      <c r="Z117" t="n">
        <f>G117*S117</f>
        <v>0</v>
      </c>
      <c r="AA117" t="n">
        <f>H117*S117</f>
        <v>0</v>
      </c>
      <c r="AB117" t="n">
        <f>I117*S117</f>
        <v>0</v>
      </c>
      <c r="AC117" t="n">
        <f>J117*S117</f>
        <v>0</v>
      </c>
      <c r="AD117" t="n">
        <f>K117*S117</f>
        <v>0</v>
      </c>
      <c r="AE117" t="n">
        <f>L117*S117</f>
        <v>0</v>
      </c>
      <c r="AF117" t="n">
        <f>M117*S117</f>
        <v>0</v>
      </c>
      <c r="AG117" t="n">
        <f>N117*S117</f>
        <v>0</v>
      </c>
      <c r="AH117" t="n">
        <f>O117*S117</f>
        <v>0</v>
      </c>
      <c r="AI117" t="n">
        <f>P117*S117</f>
        <v>0</v>
      </c>
      <c r="AJ117" t="n">
        <f>Q117*S117</f>
        <v>0</v>
      </c>
      <c r="AK117" t="n">
        <f>E117*V117</f>
        <v>0</v>
      </c>
      <c r="AL117" t="n">
        <f>F117*V117</f>
        <v>0</v>
      </c>
      <c r="AM117" t="n">
        <f>G117*V117</f>
        <v>0</v>
      </c>
      <c r="AN117" t="n">
        <f>H117*V117</f>
        <v>0</v>
      </c>
      <c r="AO117" t="n">
        <f>I117*V117</f>
        <v>0</v>
      </c>
      <c r="AP117" t="n">
        <f>J117*V117</f>
        <v>0</v>
      </c>
      <c r="AQ117" t="n">
        <f>K117*V117</f>
        <v>0</v>
      </c>
      <c r="AR117" t="n">
        <f>L117*V117</f>
        <v>0</v>
      </c>
      <c r="AS117" t="n">
        <f>M117*V117</f>
        <v>0</v>
      </c>
      <c r="AT117" t="n">
        <f>N117*V117</f>
        <v>0</v>
      </c>
      <c r="AU117" t="n">
        <f>O117*V117</f>
        <v>0</v>
      </c>
      <c r="AV117" t="n">
        <f>P117*V117</f>
        <v>0</v>
      </c>
      <c r="AW117" t="n">
        <f>Q117*V117</f>
        <v>0</v>
      </c>
      <c r="AX117" t="n">
        <f>E117*W117</f>
        <v>0</v>
      </c>
      <c r="AY117" t="n">
        <f>F117*W117</f>
        <v>0</v>
      </c>
      <c r="AZ117" t="n">
        <f>G117*W117</f>
        <v>0</v>
      </c>
      <c r="BA117" t="n">
        <f>H117*W117</f>
        <v>0</v>
      </c>
      <c r="BB117" t="n">
        <f>I117*W117</f>
        <v>0</v>
      </c>
      <c r="BC117" t="n">
        <f>J117*W117</f>
        <v>0</v>
      </c>
      <c r="BD117" t="n">
        <f>K117*W117</f>
        <v>0</v>
      </c>
      <c r="BE117" t="n">
        <f>L117*W117</f>
        <v>0</v>
      </c>
      <c r="BF117" t="n">
        <f>M117*W117</f>
        <v>0</v>
      </c>
      <c r="BG117" t="n">
        <f>N117*W117</f>
        <v>0</v>
      </c>
      <c r="BH117" t="n">
        <f>O117*W117</f>
        <v>0</v>
      </c>
      <c r="BI117" t="n">
        <f>P117*W117</f>
        <v>0</v>
      </c>
      <c r="BJ117" t="n">
        <f>Q117*W117</f>
        <v>0</v>
      </c>
    </row>
    <row r="118">
      <c r="A118" t="n">
        <f>Charges!A118</f>
        <v>0</v>
      </c>
      <c r="B118" t="n">
        <f>Charges!C118</f>
        <v>0</v>
      </c>
      <c r="C118" t="str">
        <f>Charges!D118</f>
        <v/>
      </c>
      <c r="E118" t="n">
        <f>IF(1&lt;=Paramètres!$B$9,MAX(0,IFERROR(N(IF(ISNUMBER(Charges!F118),MAX(0,Charges!F118),IFERROR(VLOOKUP(Charges!F118,Paramètres!$A$15:$B$18,2,FALSE),0))),0)),0)</f>
        <v>0</v>
      </c>
      <c r="F118" t="n">
        <f>IF(2&lt;=Paramètres!$B$9,MAX(0,IFERROR(N(IF(ISNUMBER(Charges!G118),MAX(0,Charges!G118),IFERROR(VLOOKUP(Charges!G118,Paramètres!$A$15:$B$18,2,FALSE),0))),0)),0)</f>
        <v>0</v>
      </c>
      <c r="G118" t="n">
        <f>IF(3&lt;=Paramètres!$B$9,MAX(0,IFERROR(N(IF(ISNUMBER(Charges!H118),MAX(0,Charges!H118),IFERROR(VLOOKUP(Charges!H118,Paramètres!$A$15:$B$18,2,FALSE),0))),0)),0)</f>
        <v>0</v>
      </c>
      <c r="H118" t="n">
        <f>IF(4&lt;=Paramètres!$B$9,MAX(0,IFERROR(N(IF(ISNUMBER(Charges!I118),MAX(0,Charges!I118),IFERROR(VLOOKUP(Charges!I118,Paramètres!$A$15:$B$18,2,FALSE),0))),0)),0)</f>
        <v>0</v>
      </c>
      <c r="I118" t="n">
        <f>IF(5&lt;=Paramètres!$B$9,MAX(0,IFERROR(N(IF(ISNUMBER(Charges!J118),MAX(0,Charges!J118),IFERROR(VLOOKUP(Charges!J118,Paramètres!$A$15:$B$18,2,FALSE),0))),0)),0)</f>
        <v>0</v>
      </c>
      <c r="J118" t="n">
        <f>IF(6&lt;=Paramètres!$B$9,MAX(0,IFERROR(N(IF(ISNUMBER(Charges!K118),MAX(0,Charges!K118),IFERROR(VLOOKUP(Charges!K118,Paramètres!$A$15:$B$18,2,FALSE),0))),0)),0)</f>
        <v>0</v>
      </c>
      <c r="K118" t="n">
        <f>IF(7&lt;=Paramètres!$B$9,MAX(0,IFERROR(N(IF(ISNUMBER(Charges!L118),MAX(0,Charges!L118),IFERROR(VLOOKUP(Charges!L118,Paramètres!$A$15:$B$18,2,FALSE),0))),0)),0)</f>
        <v>0</v>
      </c>
      <c r="L118" t="n">
        <f>IF(8&lt;=Paramètres!$B$9,MAX(0,IFERROR(N(IF(ISNUMBER(Charges!M118),MAX(0,Charges!M118),IFERROR(VLOOKUP(Charges!M118,Paramètres!$A$15:$B$18,2,FALSE),0))),0)),0)</f>
        <v>0</v>
      </c>
      <c r="M118" t="n">
        <f>IF(9&lt;=Paramètres!$B$9,MAX(0,IFERROR(N(IF(ISNUMBER(Charges!N118),MAX(0,Charges!N118),IFERROR(VLOOKUP(Charges!N118,Paramètres!$A$15:$B$18,2,FALSE),0))),0)),0)</f>
        <v>0</v>
      </c>
      <c r="N118" t="n">
        <f>IF(10&lt;=Paramètres!$B$9,MAX(0,IFERROR(N(IF(ISNUMBER(Charges!O118),MAX(0,Charges!O118),IFERROR(VLOOKUP(Charges!O118,Paramètres!$A$15:$B$18,2,FALSE),0))),0)),0)</f>
        <v>0</v>
      </c>
      <c r="O118" t="n">
        <f>IF(11&lt;=Paramètres!$B$9,MAX(0,IFERROR(N(IF(ISNUMBER(Charges!P118),MAX(0,Charges!P118),IFERROR(VLOOKUP(Charges!P118,Paramètres!$A$15:$B$18,2,FALSE),0))),0)),0)</f>
        <v>0</v>
      </c>
      <c r="P118" t="n">
        <f>IF(12&lt;=Paramètres!$B$9,MAX(0,IFERROR(N(IF(ISNUMBER(Charges!Q118),MAX(0,Charges!Q118),IFERROR(VLOOKUP(Charges!Q118,Paramètres!$A$15:$B$18,2,FALSE),0))),0)),0)</f>
        <v>0</v>
      </c>
      <c r="Q118" t="n">
        <f>IF(13&lt;=Paramètres!$B$9,MAX(0,IFERROR(N(IF(ISNUMBER(Charges!R118),MAX(0,Charges!R118),IFERROR(VLOOKUP(Charges!R118,Paramètres!$A$15:$B$18,2,FALSE),0))),0)),0)</f>
        <v>0</v>
      </c>
      <c r="R118" t="n">
        <f>SUM(E118:Q118)</f>
        <v>0</v>
      </c>
      <c r="S118" t="n">
        <f>IF(IFERROR(VLOOKUP(A118,'Projets'!$A$8:$Z$67,7,FALSE),"")="Engager",1,0)</f>
        <v>0</v>
      </c>
      <c r="T118" t="n">
        <f>IF(OR(Charges!F118="",AND(ISNUMBER(Charges!F118),Charges!F118&gt;=0),Charges!F118="S",Charges!F118="M",Charges!F118="L",Charges!F118="XL"),0,1)+IF(OR(Charges!G118="",AND(ISNUMBER(Charges!G118),Charges!G118&gt;=0),Charges!G118="S",Charges!G118="M",Charges!G118="L",Charges!G118="XL"),0,1)+IF(OR(Charges!H118="",AND(ISNUMBER(Charges!H118),Charges!H118&gt;=0),Charges!H118="S",Charges!H118="M",Charges!H118="L",Charges!H118="XL"),0,1)+IF(OR(Charges!I118="",AND(ISNUMBER(Charges!I118),Charges!I118&gt;=0),Charges!I118="S",Charges!I118="M",Charges!I118="L",Charges!I118="XL"),0,1)+IF(OR(Charges!J118="",AND(ISNUMBER(Charges!J118),Charges!J118&gt;=0),Charges!J118="S",Charges!J118="M",Charges!J118="L",Charges!J118="XL"),0,1)+IF(OR(Charges!K118="",AND(ISNUMBER(Charges!K118),Charges!K118&gt;=0),Charges!K118="S",Charges!K118="M",Charges!K118="L",Charges!K118="XL"),0,1)+IF(OR(Charges!L118="",AND(ISNUMBER(Charges!L118),Charges!L118&gt;=0),Charges!L118="S",Charges!L118="M",Charges!L118="L",Charges!L118="XL"),0,1)+IF(OR(Charges!M118="",AND(ISNUMBER(Charges!M118),Charges!M118&gt;=0),Charges!M118="S",Charges!M118="M",Charges!M118="L",Charges!M118="XL"),0,1)+IF(OR(Charges!N118="",AND(ISNUMBER(Charges!N118),Charges!N118&gt;=0),Charges!N118="S",Charges!N118="M",Charges!N118="L",Charges!N118="XL"),0,1)+IF(OR(Charges!O118="",AND(ISNUMBER(Charges!O118),Charges!O118&gt;=0),Charges!O118="S",Charges!O118="M",Charges!O118="L",Charges!O118="XL"),0,1)+IF(OR(Charges!P118="",AND(ISNUMBER(Charges!P118),Charges!P118&gt;=0),Charges!P118="S",Charges!P118="M",Charges!P118="L",Charges!P118="XL"),0,1)+IF(OR(Charges!Q118="",AND(ISNUMBER(Charges!Q118),Charges!Q118&gt;=0),Charges!Q118="S",Charges!Q118="M",Charges!Q118="L",Charges!Q118="XL"),0,1)+IF(OR(Charges!R118="",AND(ISNUMBER(Charges!R118),Charges!R118&gt;=0),Charges!R118="S",Charges!R118="M",Charges!R118="L",Charges!R118="XL"),0,1)</f>
        <v>0</v>
      </c>
      <c r="U118" t="n">
        <f>IF(AND(1&gt;Paramètres!$B$9,Charges!F118&lt;&gt;"",Charges!F118&lt;&gt;0),1,0)+IF(AND(2&gt;Paramètres!$B$9,Charges!G118&lt;&gt;"",Charges!G118&lt;&gt;0),1,0)+IF(AND(3&gt;Paramètres!$B$9,Charges!H118&lt;&gt;"",Charges!H118&lt;&gt;0),1,0)+IF(AND(4&gt;Paramètres!$B$9,Charges!I118&lt;&gt;"",Charges!I118&lt;&gt;0),1,0)+IF(AND(5&gt;Paramètres!$B$9,Charges!J118&lt;&gt;"",Charges!J118&lt;&gt;0),1,0)+IF(AND(6&gt;Paramètres!$B$9,Charges!K118&lt;&gt;"",Charges!K118&lt;&gt;0),1,0)+IF(AND(7&gt;Paramètres!$B$9,Charges!L118&lt;&gt;"",Charges!L118&lt;&gt;0),1,0)+IF(AND(8&gt;Paramètres!$B$9,Charges!M118&lt;&gt;"",Charges!M118&lt;&gt;0),1,0)+IF(AND(9&gt;Paramètres!$B$9,Charges!N118&lt;&gt;"",Charges!N118&lt;&gt;0),1,0)+IF(AND(10&gt;Paramètres!$B$9,Charges!O118&lt;&gt;"",Charges!O118&lt;&gt;0),1,0)+IF(AND(11&gt;Paramètres!$B$9,Charges!P118&lt;&gt;"",Charges!P118&lt;&gt;0),1,0)+IF(AND(12&gt;Paramètres!$B$9,Charges!Q118&lt;&gt;"",Charges!Q118&lt;&gt;0),1,0)+IF(AND(13&gt;Paramètres!$B$9,Charges!R118&lt;&gt;"",Charges!R118&lt;&gt;0),1,0)</f>
        <v>0</v>
      </c>
      <c r="V118" t="n">
        <f>IF(IFERROR(VLOOKUP(A118,'Projets'!$A$8:$Z$67,5,FALSE),"")="Engager",1,0)</f>
        <v>0</v>
      </c>
      <c r="W118" t="n">
        <f>IF(IFERROR(VLOOKUP(A118,'Projets'!$A$8:$Z$67,6,FALSE),"")="Engager",1,0)</f>
        <v>0</v>
      </c>
      <c r="X118" t="n">
        <f>E118*S118</f>
        <v>0</v>
      </c>
      <c r="Y118" t="n">
        <f>F118*S118</f>
        <v>0</v>
      </c>
      <c r="Z118" t="n">
        <f>G118*S118</f>
        <v>0</v>
      </c>
      <c r="AA118" t="n">
        <f>H118*S118</f>
        <v>0</v>
      </c>
      <c r="AB118" t="n">
        <f>I118*S118</f>
        <v>0</v>
      </c>
      <c r="AC118" t="n">
        <f>J118*S118</f>
        <v>0</v>
      </c>
      <c r="AD118" t="n">
        <f>K118*S118</f>
        <v>0</v>
      </c>
      <c r="AE118" t="n">
        <f>L118*S118</f>
        <v>0</v>
      </c>
      <c r="AF118" t="n">
        <f>M118*S118</f>
        <v>0</v>
      </c>
      <c r="AG118" t="n">
        <f>N118*S118</f>
        <v>0</v>
      </c>
      <c r="AH118" t="n">
        <f>O118*S118</f>
        <v>0</v>
      </c>
      <c r="AI118" t="n">
        <f>P118*S118</f>
        <v>0</v>
      </c>
      <c r="AJ118" t="n">
        <f>Q118*S118</f>
        <v>0</v>
      </c>
      <c r="AK118" t="n">
        <f>E118*V118</f>
        <v>0</v>
      </c>
      <c r="AL118" t="n">
        <f>F118*V118</f>
        <v>0</v>
      </c>
      <c r="AM118" t="n">
        <f>G118*V118</f>
        <v>0</v>
      </c>
      <c r="AN118" t="n">
        <f>H118*V118</f>
        <v>0</v>
      </c>
      <c r="AO118" t="n">
        <f>I118*V118</f>
        <v>0</v>
      </c>
      <c r="AP118" t="n">
        <f>J118*V118</f>
        <v>0</v>
      </c>
      <c r="AQ118" t="n">
        <f>K118*V118</f>
        <v>0</v>
      </c>
      <c r="AR118" t="n">
        <f>L118*V118</f>
        <v>0</v>
      </c>
      <c r="AS118" t="n">
        <f>M118*V118</f>
        <v>0</v>
      </c>
      <c r="AT118" t="n">
        <f>N118*V118</f>
        <v>0</v>
      </c>
      <c r="AU118" t="n">
        <f>O118*V118</f>
        <v>0</v>
      </c>
      <c r="AV118" t="n">
        <f>P118*V118</f>
        <v>0</v>
      </c>
      <c r="AW118" t="n">
        <f>Q118*V118</f>
        <v>0</v>
      </c>
      <c r="AX118" t="n">
        <f>E118*W118</f>
        <v>0</v>
      </c>
      <c r="AY118" t="n">
        <f>F118*W118</f>
        <v>0</v>
      </c>
      <c r="AZ118" t="n">
        <f>G118*W118</f>
        <v>0</v>
      </c>
      <c r="BA118" t="n">
        <f>H118*W118</f>
        <v>0</v>
      </c>
      <c r="BB118" t="n">
        <f>I118*W118</f>
        <v>0</v>
      </c>
      <c r="BC118" t="n">
        <f>J118*W118</f>
        <v>0</v>
      </c>
      <c r="BD118" t="n">
        <f>K118*W118</f>
        <v>0</v>
      </c>
      <c r="BE118" t="n">
        <f>L118*W118</f>
        <v>0</v>
      </c>
      <c r="BF118" t="n">
        <f>M118*W118</f>
        <v>0</v>
      </c>
      <c r="BG118" t="n">
        <f>N118*W118</f>
        <v>0</v>
      </c>
      <c r="BH118" t="n">
        <f>O118*W118</f>
        <v>0</v>
      </c>
      <c r="BI118" t="n">
        <f>P118*W118</f>
        <v>0</v>
      </c>
      <c r="BJ118" t="n">
        <f>Q118*W118</f>
        <v>0</v>
      </c>
    </row>
    <row r="119">
      <c r="A119" t="n">
        <f>Charges!A119</f>
        <v>0</v>
      </c>
      <c r="B119" t="n">
        <f>Charges!C119</f>
        <v>0</v>
      </c>
      <c r="C119" t="str">
        <f>Charges!D119</f>
        <v/>
      </c>
      <c r="E119" t="n">
        <f>IF(1&lt;=Paramètres!$B$9,MAX(0,IFERROR(N(IF(ISNUMBER(Charges!F119),MAX(0,Charges!F119),IFERROR(VLOOKUP(Charges!F119,Paramètres!$A$15:$B$18,2,FALSE),0))),0)),0)</f>
        <v>0</v>
      </c>
      <c r="F119" t="n">
        <f>IF(2&lt;=Paramètres!$B$9,MAX(0,IFERROR(N(IF(ISNUMBER(Charges!G119),MAX(0,Charges!G119),IFERROR(VLOOKUP(Charges!G119,Paramètres!$A$15:$B$18,2,FALSE),0))),0)),0)</f>
        <v>0</v>
      </c>
      <c r="G119" t="n">
        <f>IF(3&lt;=Paramètres!$B$9,MAX(0,IFERROR(N(IF(ISNUMBER(Charges!H119),MAX(0,Charges!H119),IFERROR(VLOOKUP(Charges!H119,Paramètres!$A$15:$B$18,2,FALSE),0))),0)),0)</f>
        <v>0</v>
      </c>
      <c r="H119" t="n">
        <f>IF(4&lt;=Paramètres!$B$9,MAX(0,IFERROR(N(IF(ISNUMBER(Charges!I119),MAX(0,Charges!I119),IFERROR(VLOOKUP(Charges!I119,Paramètres!$A$15:$B$18,2,FALSE),0))),0)),0)</f>
        <v>0</v>
      </c>
      <c r="I119" t="n">
        <f>IF(5&lt;=Paramètres!$B$9,MAX(0,IFERROR(N(IF(ISNUMBER(Charges!J119),MAX(0,Charges!J119),IFERROR(VLOOKUP(Charges!J119,Paramètres!$A$15:$B$18,2,FALSE),0))),0)),0)</f>
        <v>0</v>
      </c>
      <c r="J119" t="n">
        <f>IF(6&lt;=Paramètres!$B$9,MAX(0,IFERROR(N(IF(ISNUMBER(Charges!K119),MAX(0,Charges!K119),IFERROR(VLOOKUP(Charges!K119,Paramètres!$A$15:$B$18,2,FALSE),0))),0)),0)</f>
        <v>0</v>
      </c>
      <c r="K119" t="n">
        <f>IF(7&lt;=Paramètres!$B$9,MAX(0,IFERROR(N(IF(ISNUMBER(Charges!L119),MAX(0,Charges!L119),IFERROR(VLOOKUP(Charges!L119,Paramètres!$A$15:$B$18,2,FALSE),0))),0)),0)</f>
        <v>0</v>
      </c>
      <c r="L119" t="n">
        <f>IF(8&lt;=Paramètres!$B$9,MAX(0,IFERROR(N(IF(ISNUMBER(Charges!M119),MAX(0,Charges!M119),IFERROR(VLOOKUP(Charges!M119,Paramètres!$A$15:$B$18,2,FALSE),0))),0)),0)</f>
        <v>0</v>
      </c>
      <c r="M119" t="n">
        <f>IF(9&lt;=Paramètres!$B$9,MAX(0,IFERROR(N(IF(ISNUMBER(Charges!N119),MAX(0,Charges!N119),IFERROR(VLOOKUP(Charges!N119,Paramètres!$A$15:$B$18,2,FALSE),0))),0)),0)</f>
        <v>0</v>
      </c>
      <c r="N119" t="n">
        <f>IF(10&lt;=Paramètres!$B$9,MAX(0,IFERROR(N(IF(ISNUMBER(Charges!O119),MAX(0,Charges!O119),IFERROR(VLOOKUP(Charges!O119,Paramètres!$A$15:$B$18,2,FALSE),0))),0)),0)</f>
        <v>0</v>
      </c>
      <c r="O119" t="n">
        <f>IF(11&lt;=Paramètres!$B$9,MAX(0,IFERROR(N(IF(ISNUMBER(Charges!P119),MAX(0,Charges!P119),IFERROR(VLOOKUP(Charges!P119,Paramètres!$A$15:$B$18,2,FALSE),0))),0)),0)</f>
        <v>0</v>
      </c>
      <c r="P119" t="n">
        <f>IF(12&lt;=Paramètres!$B$9,MAX(0,IFERROR(N(IF(ISNUMBER(Charges!Q119),MAX(0,Charges!Q119),IFERROR(VLOOKUP(Charges!Q119,Paramètres!$A$15:$B$18,2,FALSE),0))),0)),0)</f>
        <v>0</v>
      </c>
      <c r="Q119" t="n">
        <f>IF(13&lt;=Paramètres!$B$9,MAX(0,IFERROR(N(IF(ISNUMBER(Charges!R119),MAX(0,Charges!R119),IFERROR(VLOOKUP(Charges!R119,Paramètres!$A$15:$B$18,2,FALSE),0))),0)),0)</f>
        <v>0</v>
      </c>
      <c r="R119" t="n">
        <f>SUM(E119:Q119)</f>
        <v>0</v>
      </c>
      <c r="S119" t="n">
        <f>IF(IFERROR(VLOOKUP(A119,'Projets'!$A$8:$Z$67,7,FALSE),"")="Engager",1,0)</f>
        <v>0</v>
      </c>
      <c r="T119" t="n">
        <f>IF(OR(Charges!F119="",AND(ISNUMBER(Charges!F119),Charges!F119&gt;=0),Charges!F119="S",Charges!F119="M",Charges!F119="L",Charges!F119="XL"),0,1)+IF(OR(Charges!G119="",AND(ISNUMBER(Charges!G119),Charges!G119&gt;=0),Charges!G119="S",Charges!G119="M",Charges!G119="L",Charges!G119="XL"),0,1)+IF(OR(Charges!H119="",AND(ISNUMBER(Charges!H119),Charges!H119&gt;=0),Charges!H119="S",Charges!H119="M",Charges!H119="L",Charges!H119="XL"),0,1)+IF(OR(Charges!I119="",AND(ISNUMBER(Charges!I119),Charges!I119&gt;=0),Charges!I119="S",Charges!I119="M",Charges!I119="L",Charges!I119="XL"),0,1)+IF(OR(Charges!J119="",AND(ISNUMBER(Charges!J119),Charges!J119&gt;=0),Charges!J119="S",Charges!J119="M",Charges!J119="L",Charges!J119="XL"),0,1)+IF(OR(Charges!K119="",AND(ISNUMBER(Charges!K119),Charges!K119&gt;=0),Charges!K119="S",Charges!K119="M",Charges!K119="L",Charges!K119="XL"),0,1)+IF(OR(Charges!L119="",AND(ISNUMBER(Charges!L119),Charges!L119&gt;=0),Charges!L119="S",Charges!L119="M",Charges!L119="L",Charges!L119="XL"),0,1)+IF(OR(Charges!M119="",AND(ISNUMBER(Charges!M119),Charges!M119&gt;=0),Charges!M119="S",Charges!M119="M",Charges!M119="L",Charges!M119="XL"),0,1)+IF(OR(Charges!N119="",AND(ISNUMBER(Charges!N119),Charges!N119&gt;=0),Charges!N119="S",Charges!N119="M",Charges!N119="L",Charges!N119="XL"),0,1)+IF(OR(Charges!O119="",AND(ISNUMBER(Charges!O119),Charges!O119&gt;=0),Charges!O119="S",Charges!O119="M",Charges!O119="L",Charges!O119="XL"),0,1)+IF(OR(Charges!P119="",AND(ISNUMBER(Charges!P119),Charges!P119&gt;=0),Charges!P119="S",Charges!P119="M",Charges!P119="L",Charges!P119="XL"),0,1)+IF(OR(Charges!Q119="",AND(ISNUMBER(Charges!Q119),Charges!Q119&gt;=0),Charges!Q119="S",Charges!Q119="M",Charges!Q119="L",Charges!Q119="XL"),0,1)+IF(OR(Charges!R119="",AND(ISNUMBER(Charges!R119),Charges!R119&gt;=0),Charges!R119="S",Charges!R119="M",Charges!R119="L",Charges!R119="XL"),0,1)</f>
        <v>0</v>
      </c>
      <c r="U119" t="n">
        <f>IF(AND(1&gt;Paramètres!$B$9,Charges!F119&lt;&gt;"",Charges!F119&lt;&gt;0),1,0)+IF(AND(2&gt;Paramètres!$B$9,Charges!G119&lt;&gt;"",Charges!G119&lt;&gt;0),1,0)+IF(AND(3&gt;Paramètres!$B$9,Charges!H119&lt;&gt;"",Charges!H119&lt;&gt;0),1,0)+IF(AND(4&gt;Paramètres!$B$9,Charges!I119&lt;&gt;"",Charges!I119&lt;&gt;0),1,0)+IF(AND(5&gt;Paramètres!$B$9,Charges!J119&lt;&gt;"",Charges!J119&lt;&gt;0),1,0)+IF(AND(6&gt;Paramètres!$B$9,Charges!K119&lt;&gt;"",Charges!K119&lt;&gt;0),1,0)+IF(AND(7&gt;Paramètres!$B$9,Charges!L119&lt;&gt;"",Charges!L119&lt;&gt;0),1,0)+IF(AND(8&gt;Paramètres!$B$9,Charges!M119&lt;&gt;"",Charges!M119&lt;&gt;0),1,0)+IF(AND(9&gt;Paramètres!$B$9,Charges!N119&lt;&gt;"",Charges!N119&lt;&gt;0),1,0)+IF(AND(10&gt;Paramètres!$B$9,Charges!O119&lt;&gt;"",Charges!O119&lt;&gt;0),1,0)+IF(AND(11&gt;Paramètres!$B$9,Charges!P119&lt;&gt;"",Charges!P119&lt;&gt;0),1,0)+IF(AND(12&gt;Paramètres!$B$9,Charges!Q119&lt;&gt;"",Charges!Q119&lt;&gt;0),1,0)+IF(AND(13&gt;Paramètres!$B$9,Charges!R119&lt;&gt;"",Charges!R119&lt;&gt;0),1,0)</f>
        <v>0</v>
      </c>
      <c r="V119" t="n">
        <f>IF(IFERROR(VLOOKUP(A119,'Projets'!$A$8:$Z$67,5,FALSE),"")="Engager",1,0)</f>
        <v>0</v>
      </c>
      <c r="W119" t="n">
        <f>IF(IFERROR(VLOOKUP(A119,'Projets'!$A$8:$Z$67,6,FALSE),"")="Engager",1,0)</f>
        <v>0</v>
      </c>
      <c r="X119" t="n">
        <f>E119*S119</f>
        <v>0</v>
      </c>
      <c r="Y119" t="n">
        <f>F119*S119</f>
        <v>0</v>
      </c>
      <c r="Z119" t="n">
        <f>G119*S119</f>
        <v>0</v>
      </c>
      <c r="AA119" t="n">
        <f>H119*S119</f>
        <v>0</v>
      </c>
      <c r="AB119" t="n">
        <f>I119*S119</f>
        <v>0</v>
      </c>
      <c r="AC119" t="n">
        <f>J119*S119</f>
        <v>0</v>
      </c>
      <c r="AD119" t="n">
        <f>K119*S119</f>
        <v>0</v>
      </c>
      <c r="AE119" t="n">
        <f>L119*S119</f>
        <v>0</v>
      </c>
      <c r="AF119" t="n">
        <f>M119*S119</f>
        <v>0</v>
      </c>
      <c r="AG119" t="n">
        <f>N119*S119</f>
        <v>0</v>
      </c>
      <c r="AH119" t="n">
        <f>O119*S119</f>
        <v>0</v>
      </c>
      <c r="AI119" t="n">
        <f>P119*S119</f>
        <v>0</v>
      </c>
      <c r="AJ119" t="n">
        <f>Q119*S119</f>
        <v>0</v>
      </c>
      <c r="AK119" t="n">
        <f>E119*V119</f>
        <v>0</v>
      </c>
      <c r="AL119" t="n">
        <f>F119*V119</f>
        <v>0</v>
      </c>
      <c r="AM119" t="n">
        <f>G119*V119</f>
        <v>0</v>
      </c>
      <c r="AN119" t="n">
        <f>H119*V119</f>
        <v>0</v>
      </c>
      <c r="AO119" t="n">
        <f>I119*V119</f>
        <v>0</v>
      </c>
      <c r="AP119" t="n">
        <f>J119*V119</f>
        <v>0</v>
      </c>
      <c r="AQ119" t="n">
        <f>K119*V119</f>
        <v>0</v>
      </c>
      <c r="AR119" t="n">
        <f>L119*V119</f>
        <v>0</v>
      </c>
      <c r="AS119" t="n">
        <f>M119*V119</f>
        <v>0</v>
      </c>
      <c r="AT119" t="n">
        <f>N119*V119</f>
        <v>0</v>
      </c>
      <c r="AU119" t="n">
        <f>O119*V119</f>
        <v>0</v>
      </c>
      <c r="AV119" t="n">
        <f>P119*V119</f>
        <v>0</v>
      </c>
      <c r="AW119" t="n">
        <f>Q119*V119</f>
        <v>0</v>
      </c>
      <c r="AX119" t="n">
        <f>E119*W119</f>
        <v>0</v>
      </c>
      <c r="AY119" t="n">
        <f>F119*W119</f>
        <v>0</v>
      </c>
      <c r="AZ119" t="n">
        <f>G119*W119</f>
        <v>0</v>
      </c>
      <c r="BA119" t="n">
        <f>H119*W119</f>
        <v>0</v>
      </c>
      <c r="BB119" t="n">
        <f>I119*W119</f>
        <v>0</v>
      </c>
      <c r="BC119" t="n">
        <f>J119*W119</f>
        <v>0</v>
      </c>
      <c r="BD119" t="n">
        <f>K119*W119</f>
        <v>0</v>
      </c>
      <c r="BE119" t="n">
        <f>L119*W119</f>
        <v>0</v>
      </c>
      <c r="BF119" t="n">
        <f>M119*W119</f>
        <v>0</v>
      </c>
      <c r="BG119" t="n">
        <f>N119*W119</f>
        <v>0</v>
      </c>
      <c r="BH119" t="n">
        <f>O119*W119</f>
        <v>0</v>
      </c>
      <c r="BI119" t="n">
        <f>P119*W119</f>
        <v>0</v>
      </c>
      <c r="BJ119" t="n">
        <f>Q119*W119</f>
        <v>0</v>
      </c>
    </row>
    <row r="120">
      <c r="A120" t="n">
        <f>Charges!A120</f>
        <v>0</v>
      </c>
      <c r="B120" t="n">
        <f>Charges!C120</f>
        <v>0</v>
      </c>
      <c r="C120" t="str">
        <f>Charges!D120</f>
        <v/>
      </c>
      <c r="E120" t="n">
        <f>IF(1&lt;=Paramètres!$B$9,MAX(0,IFERROR(N(IF(ISNUMBER(Charges!F120),MAX(0,Charges!F120),IFERROR(VLOOKUP(Charges!F120,Paramètres!$A$15:$B$18,2,FALSE),0))),0)),0)</f>
        <v>0</v>
      </c>
      <c r="F120" t="n">
        <f>IF(2&lt;=Paramètres!$B$9,MAX(0,IFERROR(N(IF(ISNUMBER(Charges!G120),MAX(0,Charges!G120),IFERROR(VLOOKUP(Charges!G120,Paramètres!$A$15:$B$18,2,FALSE),0))),0)),0)</f>
        <v>0</v>
      </c>
      <c r="G120" t="n">
        <f>IF(3&lt;=Paramètres!$B$9,MAX(0,IFERROR(N(IF(ISNUMBER(Charges!H120),MAX(0,Charges!H120),IFERROR(VLOOKUP(Charges!H120,Paramètres!$A$15:$B$18,2,FALSE),0))),0)),0)</f>
        <v>0</v>
      </c>
      <c r="H120" t="n">
        <f>IF(4&lt;=Paramètres!$B$9,MAX(0,IFERROR(N(IF(ISNUMBER(Charges!I120),MAX(0,Charges!I120),IFERROR(VLOOKUP(Charges!I120,Paramètres!$A$15:$B$18,2,FALSE),0))),0)),0)</f>
        <v>0</v>
      </c>
      <c r="I120" t="n">
        <f>IF(5&lt;=Paramètres!$B$9,MAX(0,IFERROR(N(IF(ISNUMBER(Charges!J120),MAX(0,Charges!J120),IFERROR(VLOOKUP(Charges!J120,Paramètres!$A$15:$B$18,2,FALSE),0))),0)),0)</f>
        <v>0</v>
      </c>
      <c r="J120" t="n">
        <f>IF(6&lt;=Paramètres!$B$9,MAX(0,IFERROR(N(IF(ISNUMBER(Charges!K120),MAX(0,Charges!K120),IFERROR(VLOOKUP(Charges!K120,Paramètres!$A$15:$B$18,2,FALSE),0))),0)),0)</f>
        <v>0</v>
      </c>
      <c r="K120" t="n">
        <f>IF(7&lt;=Paramètres!$B$9,MAX(0,IFERROR(N(IF(ISNUMBER(Charges!L120),MAX(0,Charges!L120),IFERROR(VLOOKUP(Charges!L120,Paramètres!$A$15:$B$18,2,FALSE),0))),0)),0)</f>
        <v>0</v>
      </c>
      <c r="L120" t="n">
        <f>IF(8&lt;=Paramètres!$B$9,MAX(0,IFERROR(N(IF(ISNUMBER(Charges!M120),MAX(0,Charges!M120),IFERROR(VLOOKUP(Charges!M120,Paramètres!$A$15:$B$18,2,FALSE),0))),0)),0)</f>
        <v>0</v>
      </c>
      <c r="M120" t="n">
        <f>IF(9&lt;=Paramètres!$B$9,MAX(0,IFERROR(N(IF(ISNUMBER(Charges!N120),MAX(0,Charges!N120),IFERROR(VLOOKUP(Charges!N120,Paramètres!$A$15:$B$18,2,FALSE),0))),0)),0)</f>
        <v>0</v>
      </c>
      <c r="N120" t="n">
        <f>IF(10&lt;=Paramètres!$B$9,MAX(0,IFERROR(N(IF(ISNUMBER(Charges!O120),MAX(0,Charges!O120),IFERROR(VLOOKUP(Charges!O120,Paramètres!$A$15:$B$18,2,FALSE),0))),0)),0)</f>
        <v>0</v>
      </c>
      <c r="O120" t="n">
        <f>IF(11&lt;=Paramètres!$B$9,MAX(0,IFERROR(N(IF(ISNUMBER(Charges!P120),MAX(0,Charges!P120),IFERROR(VLOOKUP(Charges!P120,Paramètres!$A$15:$B$18,2,FALSE),0))),0)),0)</f>
        <v>0</v>
      </c>
      <c r="P120" t="n">
        <f>IF(12&lt;=Paramètres!$B$9,MAX(0,IFERROR(N(IF(ISNUMBER(Charges!Q120),MAX(0,Charges!Q120),IFERROR(VLOOKUP(Charges!Q120,Paramètres!$A$15:$B$18,2,FALSE),0))),0)),0)</f>
        <v>0</v>
      </c>
      <c r="Q120" t="n">
        <f>IF(13&lt;=Paramètres!$B$9,MAX(0,IFERROR(N(IF(ISNUMBER(Charges!R120),MAX(0,Charges!R120),IFERROR(VLOOKUP(Charges!R120,Paramètres!$A$15:$B$18,2,FALSE),0))),0)),0)</f>
        <v>0</v>
      </c>
      <c r="R120" t="n">
        <f>SUM(E120:Q120)</f>
        <v>0</v>
      </c>
      <c r="S120" t="n">
        <f>IF(IFERROR(VLOOKUP(A120,'Projets'!$A$8:$Z$67,7,FALSE),"")="Engager",1,0)</f>
        <v>0</v>
      </c>
      <c r="T120" t="n">
        <f>IF(OR(Charges!F120="",AND(ISNUMBER(Charges!F120),Charges!F120&gt;=0),Charges!F120="S",Charges!F120="M",Charges!F120="L",Charges!F120="XL"),0,1)+IF(OR(Charges!G120="",AND(ISNUMBER(Charges!G120),Charges!G120&gt;=0),Charges!G120="S",Charges!G120="M",Charges!G120="L",Charges!G120="XL"),0,1)+IF(OR(Charges!H120="",AND(ISNUMBER(Charges!H120),Charges!H120&gt;=0),Charges!H120="S",Charges!H120="M",Charges!H120="L",Charges!H120="XL"),0,1)+IF(OR(Charges!I120="",AND(ISNUMBER(Charges!I120),Charges!I120&gt;=0),Charges!I120="S",Charges!I120="M",Charges!I120="L",Charges!I120="XL"),0,1)+IF(OR(Charges!J120="",AND(ISNUMBER(Charges!J120),Charges!J120&gt;=0),Charges!J120="S",Charges!J120="M",Charges!J120="L",Charges!J120="XL"),0,1)+IF(OR(Charges!K120="",AND(ISNUMBER(Charges!K120),Charges!K120&gt;=0),Charges!K120="S",Charges!K120="M",Charges!K120="L",Charges!K120="XL"),0,1)+IF(OR(Charges!L120="",AND(ISNUMBER(Charges!L120),Charges!L120&gt;=0),Charges!L120="S",Charges!L120="M",Charges!L120="L",Charges!L120="XL"),0,1)+IF(OR(Charges!M120="",AND(ISNUMBER(Charges!M120),Charges!M120&gt;=0),Charges!M120="S",Charges!M120="M",Charges!M120="L",Charges!M120="XL"),0,1)+IF(OR(Charges!N120="",AND(ISNUMBER(Charges!N120),Charges!N120&gt;=0),Charges!N120="S",Charges!N120="M",Charges!N120="L",Charges!N120="XL"),0,1)+IF(OR(Charges!O120="",AND(ISNUMBER(Charges!O120),Charges!O120&gt;=0),Charges!O120="S",Charges!O120="M",Charges!O120="L",Charges!O120="XL"),0,1)+IF(OR(Charges!P120="",AND(ISNUMBER(Charges!P120),Charges!P120&gt;=0),Charges!P120="S",Charges!P120="M",Charges!P120="L",Charges!P120="XL"),0,1)+IF(OR(Charges!Q120="",AND(ISNUMBER(Charges!Q120),Charges!Q120&gt;=0),Charges!Q120="S",Charges!Q120="M",Charges!Q120="L",Charges!Q120="XL"),0,1)+IF(OR(Charges!R120="",AND(ISNUMBER(Charges!R120),Charges!R120&gt;=0),Charges!R120="S",Charges!R120="M",Charges!R120="L",Charges!R120="XL"),0,1)</f>
        <v>0</v>
      </c>
      <c r="U120" t="n">
        <f>IF(AND(1&gt;Paramètres!$B$9,Charges!F120&lt;&gt;"",Charges!F120&lt;&gt;0),1,0)+IF(AND(2&gt;Paramètres!$B$9,Charges!G120&lt;&gt;"",Charges!G120&lt;&gt;0),1,0)+IF(AND(3&gt;Paramètres!$B$9,Charges!H120&lt;&gt;"",Charges!H120&lt;&gt;0),1,0)+IF(AND(4&gt;Paramètres!$B$9,Charges!I120&lt;&gt;"",Charges!I120&lt;&gt;0),1,0)+IF(AND(5&gt;Paramètres!$B$9,Charges!J120&lt;&gt;"",Charges!J120&lt;&gt;0),1,0)+IF(AND(6&gt;Paramètres!$B$9,Charges!K120&lt;&gt;"",Charges!K120&lt;&gt;0),1,0)+IF(AND(7&gt;Paramètres!$B$9,Charges!L120&lt;&gt;"",Charges!L120&lt;&gt;0),1,0)+IF(AND(8&gt;Paramètres!$B$9,Charges!M120&lt;&gt;"",Charges!M120&lt;&gt;0),1,0)+IF(AND(9&gt;Paramètres!$B$9,Charges!N120&lt;&gt;"",Charges!N120&lt;&gt;0),1,0)+IF(AND(10&gt;Paramètres!$B$9,Charges!O120&lt;&gt;"",Charges!O120&lt;&gt;0),1,0)+IF(AND(11&gt;Paramètres!$B$9,Charges!P120&lt;&gt;"",Charges!P120&lt;&gt;0),1,0)+IF(AND(12&gt;Paramètres!$B$9,Charges!Q120&lt;&gt;"",Charges!Q120&lt;&gt;0),1,0)+IF(AND(13&gt;Paramètres!$B$9,Charges!R120&lt;&gt;"",Charges!R120&lt;&gt;0),1,0)</f>
        <v>0</v>
      </c>
      <c r="V120" t="n">
        <f>IF(IFERROR(VLOOKUP(A120,'Projets'!$A$8:$Z$67,5,FALSE),"")="Engager",1,0)</f>
        <v>0</v>
      </c>
      <c r="W120" t="n">
        <f>IF(IFERROR(VLOOKUP(A120,'Projets'!$A$8:$Z$67,6,FALSE),"")="Engager",1,0)</f>
        <v>0</v>
      </c>
      <c r="X120" t="n">
        <f>E120*S120</f>
        <v>0</v>
      </c>
      <c r="Y120" t="n">
        <f>F120*S120</f>
        <v>0</v>
      </c>
      <c r="Z120" t="n">
        <f>G120*S120</f>
        <v>0</v>
      </c>
      <c r="AA120" t="n">
        <f>H120*S120</f>
        <v>0</v>
      </c>
      <c r="AB120" t="n">
        <f>I120*S120</f>
        <v>0</v>
      </c>
      <c r="AC120" t="n">
        <f>J120*S120</f>
        <v>0</v>
      </c>
      <c r="AD120" t="n">
        <f>K120*S120</f>
        <v>0</v>
      </c>
      <c r="AE120" t="n">
        <f>L120*S120</f>
        <v>0</v>
      </c>
      <c r="AF120" t="n">
        <f>M120*S120</f>
        <v>0</v>
      </c>
      <c r="AG120" t="n">
        <f>N120*S120</f>
        <v>0</v>
      </c>
      <c r="AH120" t="n">
        <f>O120*S120</f>
        <v>0</v>
      </c>
      <c r="AI120" t="n">
        <f>P120*S120</f>
        <v>0</v>
      </c>
      <c r="AJ120" t="n">
        <f>Q120*S120</f>
        <v>0</v>
      </c>
      <c r="AK120" t="n">
        <f>E120*V120</f>
        <v>0</v>
      </c>
      <c r="AL120" t="n">
        <f>F120*V120</f>
        <v>0</v>
      </c>
      <c r="AM120" t="n">
        <f>G120*V120</f>
        <v>0</v>
      </c>
      <c r="AN120" t="n">
        <f>H120*V120</f>
        <v>0</v>
      </c>
      <c r="AO120" t="n">
        <f>I120*V120</f>
        <v>0</v>
      </c>
      <c r="AP120" t="n">
        <f>J120*V120</f>
        <v>0</v>
      </c>
      <c r="AQ120" t="n">
        <f>K120*V120</f>
        <v>0</v>
      </c>
      <c r="AR120" t="n">
        <f>L120*V120</f>
        <v>0</v>
      </c>
      <c r="AS120" t="n">
        <f>M120*V120</f>
        <v>0</v>
      </c>
      <c r="AT120" t="n">
        <f>N120*V120</f>
        <v>0</v>
      </c>
      <c r="AU120" t="n">
        <f>O120*V120</f>
        <v>0</v>
      </c>
      <c r="AV120" t="n">
        <f>P120*V120</f>
        <v>0</v>
      </c>
      <c r="AW120" t="n">
        <f>Q120*V120</f>
        <v>0</v>
      </c>
      <c r="AX120" t="n">
        <f>E120*W120</f>
        <v>0</v>
      </c>
      <c r="AY120" t="n">
        <f>F120*W120</f>
        <v>0</v>
      </c>
      <c r="AZ120" t="n">
        <f>G120*W120</f>
        <v>0</v>
      </c>
      <c r="BA120" t="n">
        <f>H120*W120</f>
        <v>0</v>
      </c>
      <c r="BB120" t="n">
        <f>I120*W120</f>
        <v>0</v>
      </c>
      <c r="BC120" t="n">
        <f>J120*W120</f>
        <v>0</v>
      </c>
      <c r="BD120" t="n">
        <f>K120*W120</f>
        <v>0</v>
      </c>
      <c r="BE120" t="n">
        <f>L120*W120</f>
        <v>0</v>
      </c>
      <c r="BF120" t="n">
        <f>M120*W120</f>
        <v>0</v>
      </c>
      <c r="BG120" t="n">
        <f>N120*W120</f>
        <v>0</v>
      </c>
      <c r="BH120" t="n">
        <f>O120*W120</f>
        <v>0</v>
      </c>
      <c r="BI120" t="n">
        <f>P120*W120</f>
        <v>0</v>
      </c>
      <c r="BJ120" t="n">
        <f>Q120*W120</f>
        <v>0</v>
      </c>
    </row>
    <row r="121">
      <c r="A121" t="n">
        <f>Charges!A121</f>
        <v>0</v>
      </c>
      <c r="B121" t="n">
        <f>Charges!C121</f>
        <v>0</v>
      </c>
      <c r="C121" t="str">
        <f>Charges!D121</f>
        <v/>
      </c>
      <c r="E121" t="n">
        <f>IF(1&lt;=Paramètres!$B$9,MAX(0,IFERROR(N(IF(ISNUMBER(Charges!F121),MAX(0,Charges!F121),IFERROR(VLOOKUP(Charges!F121,Paramètres!$A$15:$B$18,2,FALSE),0))),0)),0)</f>
        <v>0</v>
      </c>
      <c r="F121" t="n">
        <f>IF(2&lt;=Paramètres!$B$9,MAX(0,IFERROR(N(IF(ISNUMBER(Charges!G121),MAX(0,Charges!G121),IFERROR(VLOOKUP(Charges!G121,Paramètres!$A$15:$B$18,2,FALSE),0))),0)),0)</f>
        <v>0</v>
      </c>
      <c r="G121" t="n">
        <f>IF(3&lt;=Paramètres!$B$9,MAX(0,IFERROR(N(IF(ISNUMBER(Charges!H121),MAX(0,Charges!H121),IFERROR(VLOOKUP(Charges!H121,Paramètres!$A$15:$B$18,2,FALSE),0))),0)),0)</f>
        <v>0</v>
      </c>
      <c r="H121" t="n">
        <f>IF(4&lt;=Paramètres!$B$9,MAX(0,IFERROR(N(IF(ISNUMBER(Charges!I121),MAX(0,Charges!I121),IFERROR(VLOOKUP(Charges!I121,Paramètres!$A$15:$B$18,2,FALSE),0))),0)),0)</f>
        <v>0</v>
      </c>
      <c r="I121" t="n">
        <f>IF(5&lt;=Paramètres!$B$9,MAX(0,IFERROR(N(IF(ISNUMBER(Charges!J121),MAX(0,Charges!J121),IFERROR(VLOOKUP(Charges!J121,Paramètres!$A$15:$B$18,2,FALSE),0))),0)),0)</f>
        <v>0</v>
      </c>
      <c r="J121" t="n">
        <f>IF(6&lt;=Paramètres!$B$9,MAX(0,IFERROR(N(IF(ISNUMBER(Charges!K121),MAX(0,Charges!K121),IFERROR(VLOOKUP(Charges!K121,Paramètres!$A$15:$B$18,2,FALSE),0))),0)),0)</f>
        <v>0</v>
      </c>
      <c r="K121" t="n">
        <f>IF(7&lt;=Paramètres!$B$9,MAX(0,IFERROR(N(IF(ISNUMBER(Charges!L121),MAX(0,Charges!L121),IFERROR(VLOOKUP(Charges!L121,Paramètres!$A$15:$B$18,2,FALSE),0))),0)),0)</f>
        <v>0</v>
      </c>
      <c r="L121" t="n">
        <f>IF(8&lt;=Paramètres!$B$9,MAX(0,IFERROR(N(IF(ISNUMBER(Charges!M121),MAX(0,Charges!M121),IFERROR(VLOOKUP(Charges!M121,Paramètres!$A$15:$B$18,2,FALSE),0))),0)),0)</f>
        <v>0</v>
      </c>
      <c r="M121" t="n">
        <f>IF(9&lt;=Paramètres!$B$9,MAX(0,IFERROR(N(IF(ISNUMBER(Charges!N121),MAX(0,Charges!N121),IFERROR(VLOOKUP(Charges!N121,Paramètres!$A$15:$B$18,2,FALSE),0))),0)),0)</f>
        <v>0</v>
      </c>
      <c r="N121" t="n">
        <f>IF(10&lt;=Paramètres!$B$9,MAX(0,IFERROR(N(IF(ISNUMBER(Charges!O121),MAX(0,Charges!O121),IFERROR(VLOOKUP(Charges!O121,Paramètres!$A$15:$B$18,2,FALSE),0))),0)),0)</f>
        <v>0</v>
      </c>
      <c r="O121" t="n">
        <f>IF(11&lt;=Paramètres!$B$9,MAX(0,IFERROR(N(IF(ISNUMBER(Charges!P121),MAX(0,Charges!P121),IFERROR(VLOOKUP(Charges!P121,Paramètres!$A$15:$B$18,2,FALSE),0))),0)),0)</f>
        <v>0</v>
      </c>
      <c r="P121" t="n">
        <f>IF(12&lt;=Paramètres!$B$9,MAX(0,IFERROR(N(IF(ISNUMBER(Charges!Q121),MAX(0,Charges!Q121),IFERROR(VLOOKUP(Charges!Q121,Paramètres!$A$15:$B$18,2,FALSE),0))),0)),0)</f>
        <v>0</v>
      </c>
      <c r="Q121" t="n">
        <f>IF(13&lt;=Paramètres!$B$9,MAX(0,IFERROR(N(IF(ISNUMBER(Charges!R121),MAX(0,Charges!R121),IFERROR(VLOOKUP(Charges!R121,Paramètres!$A$15:$B$18,2,FALSE),0))),0)),0)</f>
        <v>0</v>
      </c>
      <c r="R121" t="n">
        <f>SUM(E121:Q121)</f>
        <v>0</v>
      </c>
      <c r="S121" t="n">
        <f>IF(IFERROR(VLOOKUP(A121,'Projets'!$A$8:$Z$67,7,FALSE),"")="Engager",1,0)</f>
        <v>0</v>
      </c>
      <c r="T121" t="n">
        <f>IF(OR(Charges!F121="",AND(ISNUMBER(Charges!F121),Charges!F121&gt;=0),Charges!F121="S",Charges!F121="M",Charges!F121="L",Charges!F121="XL"),0,1)+IF(OR(Charges!G121="",AND(ISNUMBER(Charges!G121),Charges!G121&gt;=0),Charges!G121="S",Charges!G121="M",Charges!G121="L",Charges!G121="XL"),0,1)+IF(OR(Charges!H121="",AND(ISNUMBER(Charges!H121),Charges!H121&gt;=0),Charges!H121="S",Charges!H121="M",Charges!H121="L",Charges!H121="XL"),0,1)+IF(OR(Charges!I121="",AND(ISNUMBER(Charges!I121),Charges!I121&gt;=0),Charges!I121="S",Charges!I121="M",Charges!I121="L",Charges!I121="XL"),0,1)+IF(OR(Charges!J121="",AND(ISNUMBER(Charges!J121),Charges!J121&gt;=0),Charges!J121="S",Charges!J121="M",Charges!J121="L",Charges!J121="XL"),0,1)+IF(OR(Charges!K121="",AND(ISNUMBER(Charges!K121),Charges!K121&gt;=0),Charges!K121="S",Charges!K121="M",Charges!K121="L",Charges!K121="XL"),0,1)+IF(OR(Charges!L121="",AND(ISNUMBER(Charges!L121),Charges!L121&gt;=0),Charges!L121="S",Charges!L121="M",Charges!L121="L",Charges!L121="XL"),0,1)+IF(OR(Charges!M121="",AND(ISNUMBER(Charges!M121),Charges!M121&gt;=0),Charges!M121="S",Charges!M121="M",Charges!M121="L",Charges!M121="XL"),0,1)+IF(OR(Charges!N121="",AND(ISNUMBER(Charges!N121),Charges!N121&gt;=0),Charges!N121="S",Charges!N121="M",Charges!N121="L",Charges!N121="XL"),0,1)+IF(OR(Charges!O121="",AND(ISNUMBER(Charges!O121),Charges!O121&gt;=0),Charges!O121="S",Charges!O121="M",Charges!O121="L",Charges!O121="XL"),0,1)+IF(OR(Charges!P121="",AND(ISNUMBER(Charges!P121),Charges!P121&gt;=0),Charges!P121="S",Charges!P121="M",Charges!P121="L",Charges!P121="XL"),0,1)+IF(OR(Charges!Q121="",AND(ISNUMBER(Charges!Q121),Charges!Q121&gt;=0),Charges!Q121="S",Charges!Q121="M",Charges!Q121="L",Charges!Q121="XL"),0,1)+IF(OR(Charges!R121="",AND(ISNUMBER(Charges!R121),Charges!R121&gt;=0),Charges!R121="S",Charges!R121="M",Charges!R121="L",Charges!R121="XL"),0,1)</f>
        <v>0</v>
      </c>
      <c r="U121" t="n">
        <f>IF(AND(1&gt;Paramètres!$B$9,Charges!F121&lt;&gt;"",Charges!F121&lt;&gt;0),1,0)+IF(AND(2&gt;Paramètres!$B$9,Charges!G121&lt;&gt;"",Charges!G121&lt;&gt;0),1,0)+IF(AND(3&gt;Paramètres!$B$9,Charges!H121&lt;&gt;"",Charges!H121&lt;&gt;0),1,0)+IF(AND(4&gt;Paramètres!$B$9,Charges!I121&lt;&gt;"",Charges!I121&lt;&gt;0),1,0)+IF(AND(5&gt;Paramètres!$B$9,Charges!J121&lt;&gt;"",Charges!J121&lt;&gt;0),1,0)+IF(AND(6&gt;Paramètres!$B$9,Charges!K121&lt;&gt;"",Charges!K121&lt;&gt;0),1,0)+IF(AND(7&gt;Paramètres!$B$9,Charges!L121&lt;&gt;"",Charges!L121&lt;&gt;0),1,0)+IF(AND(8&gt;Paramètres!$B$9,Charges!M121&lt;&gt;"",Charges!M121&lt;&gt;0),1,0)+IF(AND(9&gt;Paramètres!$B$9,Charges!N121&lt;&gt;"",Charges!N121&lt;&gt;0),1,0)+IF(AND(10&gt;Paramètres!$B$9,Charges!O121&lt;&gt;"",Charges!O121&lt;&gt;0),1,0)+IF(AND(11&gt;Paramètres!$B$9,Charges!P121&lt;&gt;"",Charges!P121&lt;&gt;0),1,0)+IF(AND(12&gt;Paramètres!$B$9,Charges!Q121&lt;&gt;"",Charges!Q121&lt;&gt;0),1,0)+IF(AND(13&gt;Paramètres!$B$9,Charges!R121&lt;&gt;"",Charges!R121&lt;&gt;0),1,0)</f>
        <v>0</v>
      </c>
      <c r="V121" t="n">
        <f>IF(IFERROR(VLOOKUP(A121,'Projets'!$A$8:$Z$67,5,FALSE),"")="Engager",1,0)</f>
        <v>0</v>
      </c>
      <c r="W121" t="n">
        <f>IF(IFERROR(VLOOKUP(A121,'Projets'!$A$8:$Z$67,6,FALSE),"")="Engager",1,0)</f>
        <v>0</v>
      </c>
      <c r="X121" t="n">
        <f>E121*S121</f>
        <v>0</v>
      </c>
      <c r="Y121" t="n">
        <f>F121*S121</f>
        <v>0</v>
      </c>
      <c r="Z121" t="n">
        <f>G121*S121</f>
        <v>0</v>
      </c>
      <c r="AA121" t="n">
        <f>H121*S121</f>
        <v>0</v>
      </c>
      <c r="AB121" t="n">
        <f>I121*S121</f>
        <v>0</v>
      </c>
      <c r="AC121" t="n">
        <f>J121*S121</f>
        <v>0</v>
      </c>
      <c r="AD121" t="n">
        <f>K121*S121</f>
        <v>0</v>
      </c>
      <c r="AE121" t="n">
        <f>L121*S121</f>
        <v>0</v>
      </c>
      <c r="AF121" t="n">
        <f>M121*S121</f>
        <v>0</v>
      </c>
      <c r="AG121" t="n">
        <f>N121*S121</f>
        <v>0</v>
      </c>
      <c r="AH121" t="n">
        <f>O121*S121</f>
        <v>0</v>
      </c>
      <c r="AI121" t="n">
        <f>P121*S121</f>
        <v>0</v>
      </c>
      <c r="AJ121" t="n">
        <f>Q121*S121</f>
        <v>0</v>
      </c>
      <c r="AK121" t="n">
        <f>E121*V121</f>
        <v>0</v>
      </c>
      <c r="AL121" t="n">
        <f>F121*V121</f>
        <v>0</v>
      </c>
      <c r="AM121" t="n">
        <f>G121*V121</f>
        <v>0</v>
      </c>
      <c r="AN121" t="n">
        <f>H121*V121</f>
        <v>0</v>
      </c>
      <c r="AO121" t="n">
        <f>I121*V121</f>
        <v>0</v>
      </c>
      <c r="AP121" t="n">
        <f>J121*V121</f>
        <v>0</v>
      </c>
      <c r="AQ121" t="n">
        <f>K121*V121</f>
        <v>0</v>
      </c>
      <c r="AR121" t="n">
        <f>L121*V121</f>
        <v>0</v>
      </c>
      <c r="AS121" t="n">
        <f>M121*V121</f>
        <v>0</v>
      </c>
      <c r="AT121" t="n">
        <f>N121*V121</f>
        <v>0</v>
      </c>
      <c r="AU121" t="n">
        <f>O121*V121</f>
        <v>0</v>
      </c>
      <c r="AV121" t="n">
        <f>P121*V121</f>
        <v>0</v>
      </c>
      <c r="AW121" t="n">
        <f>Q121*V121</f>
        <v>0</v>
      </c>
      <c r="AX121" t="n">
        <f>E121*W121</f>
        <v>0</v>
      </c>
      <c r="AY121" t="n">
        <f>F121*W121</f>
        <v>0</v>
      </c>
      <c r="AZ121" t="n">
        <f>G121*W121</f>
        <v>0</v>
      </c>
      <c r="BA121" t="n">
        <f>H121*W121</f>
        <v>0</v>
      </c>
      <c r="BB121" t="n">
        <f>I121*W121</f>
        <v>0</v>
      </c>
      <c r="BC121" t="n">
        <f>J121*W121</f>
        <v>0</v>
      </c>
      <c r="BD121" t="n">
        <f>K121*W121</f>
        <v>0</v>
      </c>
      <c r="BE121" t="n">
        <f>L121*W121</f>
        <v>0</v>
      </c>
      <c r="BF121" t="n">
        <f>M121*W121</f>
        <v>0</v>
      </c>
      <c r="BG121" t="n">
        <f>N121*W121</f>
        <v>0</v>
      </c>
      <c r="BH121" t="n">
        <f>O121*W121</f>
        <v>0</v>
      </c>
      <c r="BI121" t="n">
        <f>P121*W121</f>
        <v>0</v>
      </c>
      <c r="BJ121" t="n">
        <f>Q121*W121</f>
        <v>0</v>
      </c>
    </row>
    <row r="122">
      <c r="A122" t="n">
        <f>Charges!A122</f>
        <v>0</v>
      </c>
      <c r="B122" t="n">
        <f>Charges!C122</f>
        <v>0</v>
      </c>
      <c r="C122" t="str">
        <f>Charges!D122</f>
        <v/>
      </c>
      <c r="E122" t="n">
        <f>IF(1&lt;=Paramètres!$B$9,MAX(0,IFERROR(N(IF(ISNUMBER(Charges!F122),MAX(0,Charges!F122),IFERROR(VLOOKUP(Charges!F122,Paramètres!$A$15:$B$18,2,FALSE),0))),0)),0)</f>
        <v>0</v>
      </c>
      <c r="F122" t="n">
        <f>IF(2&lt;=Paramètres!$B$9,MAX(0,IFERROR(N(IF(ISNUMBER(Charges!G122),MAX(0,Charges!G122),IFERROR(VLOOKUP(Charges!G122,Paramètres!$A$15:$B$18,2,FALSE),0))),0)),0)</f>
        <v>0</v>
      </c>
      <c r="G122" t="n">
        <f>IF(3&lt;=Paramètres!$B$9,MAX(0,IFERROR(N(IF(ISNUMBER(Charges!H122),MAX(0,Charges!H122),IFERROR(VLOOKUP(Charges!H122,Paramètres!$A$15:$B$18,2,FALSE),0))),0)),0)</f>
        <v>0</v>
      </c>
      <c r="H122" t="n">
        <f>IF(4&lt;=Paramètres!$B$9,MAX(0,IFERROR(N(IF(ISNUMBER(Charges!I122),MAX(0,Charges!I122),IFERROR(VLOOKUP(Charges!I122,Paramètres!$A$15:$B$18,2,FALSE),0))),0)),0)</f>
        <v>0</v>
      </c>
      <c r="I122" t="n">
        <f>IF(5&lt;=Paramètres!$B$9,MAX(0,IFERROR(N(IF(ISNUMBER(Charges!J122),MAX(0,Charges!J122),IFERROR(VLOOKUP(Charges!J122,Paramètres!$A$15:$B$18,2,FALSE),0))),0)),0)</f>
        <v>0</v>
      </c>
      <c r="J122" t="n">
        <f>IF(6&lt;=Paramètres!$B$9,MAX(0,IFERROR(N(IF(ISNUMBER(Charges!K122),MAX(0,Charges!K122),IFERROR(VLOOKUP(Charges!K122,Paramètres!$A$15:$B$18,2,FALSE),0))),0)),0)</f>
        <v>0</v>
      </c>
      <c r="K122" t="n">
        <f>IF(7&lt;=Paramètres!$B$9,MAX(0,IFERROR(N(IF(ISNUMBER(Charges!L122),MAX(0,Charges!L122),IFERROR(VLOOKUP(Charges!L122,Paramètres!$A$15:$B$18,2,FALSE),0))),0)),0)</f>
        <v>0</v>
      </c>
      <c r="L122" t="n">
        <f>IF(8&lt;=Paramètres!$B$9,MAX(0,IFERROR(N(IF(ISNUMBER(Charges!M122),MAX(0,Charges!M122),IFERROR(VLOOKUP(Charges!M122,Paramètres!$A$15:$B$18,2,FALSE),0))),0)),0)</f>
        <v>0</v>
      </c>
      <c r="M122" t="n">
        <f>IF(9&lt;=Paramètres!$B$9,MAX(0,IFERROR(N(IF(ISNUMBER(Charges!N122),MAX(0,Charges!N122),IFERROR(VLOOKUP(Charges!N122,Paramètres!$A$15:$B$18,2,FALSE),0))),0)),0)</f>
        <v>0</v>
      </c>
      <c r="N122" t="n">
        <f>IF(10&lt;=Paramètres!$B$9,MAX(0,IFERROR(N(IF(ISNUMBER(Charges!O122),MAX(0,Charges!O122),IFERROR(VLOOKUP(Charges!O122,Paramètres!$A$15:$B$18,2,FALSE),0))),0)),0)</f>
        <v>0</v>
      </c>
      <c r="O122" t="n">
        <f>IF(11&lt;=Paramètres!$B$9,MAX(0,IFERROR(N(IF(ISNUMBER(Charges!P122),MAX(0,Charges!P122),IFERROR(VLOOKUP(Charges!P122,Paramètres!$A$15:$B$18,2,FALSE),0))),0)),0)</f>
        <v>0</v>
      </c>
      <c r="P122" t="n">
        <f>IF(12&lt;=Paramètres!$B$9,MAX(0,IFERROR(N(IF(ISNUMBER(Charges!Q122),MAX(0,Charges!Q122),IFERROR(VLOOKUP(Charges!Q122,Paramètres!$A$15:$B$18,2,FALSE),0))),0)),0)</f>
        <v>0</v>
      </c>
      <c r="Q122" t="n">
        <f>IF(13&lt;=Paramètres!$B$9,MAX(0,IFERROR(N(IF(ISNUMBER(Charges!R122),MAX(0,Charges!R122),IFERROR(VLOOKUP(Charges!R122,Paramètres!$A$15:$B$18,2,FALSE),0))),0)),0)</f>
        <v>0</v>
      </c>
      <c r="R122" t="n">
        <f>SUM(E122:Q122)</f>
        <v>0</v>
      </c>
      <c r="S122" t="n">
        <f>IF(IFERROR(VLOOKUP(A122,'Projets'!$A$8:$Z$67,7,FALSE),"")="Engager",1,0)</f>
        <v>0</v>
      </c>
      <c r="T122" t="n">
        <f>IF(OR(Charges!F122="",AND(ISNUMBER(Charges!F122),Charges!F122&gt;=0),Charges!F122="S",Charges!F122="M",Charges!F122="L",Charges!F122="XL"),0,1)+IF(OR(Charges!G122="",AND(ISNUMBER(Charges!G122),Charges!G122&gt;=0),Charges!G122="S",Charges!G122="M",Charges!G122="L",Charges!G122="XL"),0,1)+IF(OR(Charges!H122="",AND(ISNUMBER(Charges!H122),Charges!H122&gt;=0),Charges!H122="S",Charges!H122="M",Charges!H122="L",Charges!H122="XL"),0,1)+IF(OR(Charges!I122="",AND(ISNUMBER(Charges!I122),Charges!I122&gt;=0),Charges!I122="S",Charges!I122="M",Charges!I122="L",Charges!I122="XL"),0,1)+IF(OR(Charges!J122="",AND(ISNUMBER(Charges!J122),Charges!J122&gt;=0),Charges!J122="S",Charges!J122="M",Charges!J122="L",Charges!J122="XL"),0,1)+IF(OR(Charges!K122="",AND(ISNUMBER(Charges!K122),Charges!K122&gt;=0),Charges!K122="S",Charges!K122="M",Charges!K122="L",Charges!K122="XL"),0,1)+IF(OR(Charges!L122="",AND(ISNUMBER(Charges!L122),Charges!L122&gt;=0),Charges!L122="S",Charges!L122="M",Charges!L122="L",Charges!L122="XL"),0,1)+IF(OR(Charges!M122="",AND(ISNUMBER(Charges!M122),Charges!M122&gt;=0),Charges!M122="S",Charges!M122="M",Charges!M122="L",Charges!M122="XL"),0,1)+IF(OR(Charges!N122="",AND(ISNUMBER(Charges!N122),Charges!N122&gt;=0),Charges!N122="S",Charges!N122="M",Charges!N122="L",Charges!N122="XL"),0,1)+IF(OR(Charges!O122="",AND(ISNUMBER(Charges!O122),Charges!O122&gt;=0),Charges!O122="S",Charges!O122="M",Charges!O122="L",Charges!O122="XL"),0,1)+IF(OR(Charges!P122="",AND(ISNUMBER(Charges!P122),Charges!P122&gt;=0),Charges!P122="S",Charges!P122="M",Charges!P122="L",Charges!P122="XL"),0,1)+IF(OR(Charges!Q122="",AND(ISNUMBER(Charges!Q122),Charges!Q122&gt;=0),Charges!Q122="S",Charges!Q122="M",Charges!Q122="L",Charges!Q122="XL"),0,1)+IF(OR(Charges!R122="",AND(ISNUMBER(Charges!R122),Charges!R122&gt;=0),Charges!R122="S",Charges!R122="M",Charges!R122="L",Charges!R122="XL"),0,1)</f>
        <v>0</v>
      </c>
      <c r="U122" t="n">
        <f>IF(AND(1&gt;Paramètres!$B$9,Charges!F122&lt;&gt;"",Charges!F122&lt;&gt;0),1,0)+IF(AND(2&gt;Paramètres!$B$9,Charges!G122&lt;&gt;"",Charges!G122&lt;&gt;0),1,0)+IF(AND(3&gt;Paramètres!$B$9,Charges!H122&lt;&gt;"",Charges!H122&lt;&gt;0),1,0)+IF(AND(4&gt;Paramètres!$B$9,Charges!I122&lt;&gt;"",Charges!I122&lt;&gt;0),1,0)+IF(AND(5&gt;Paramètres!$B$9,Charges!J122&lt;&gt;"",Charges!J122&lt;&gt;0),1,0)+IF(AND(6&gt;Paramètres!$B$9,Charges!K122&lt;&gt;"",Charges!K122&lt;&gt;0),1,0)+IF(AND(7&gt;Paramètres!$B$9,Charges!L122&lt;&gt;"",Charges!L122&lt;&gt;0),1,0)+IF(AND(8&gt;Paramètres!$B$9,Charges!M122&lt;&gt;"",Charges!M122&lt;&gt;0),1,0)+IF(AND(9&gt;Paramètres!$B$9,Charges!N122&lt;&gt;"",Charges!N122&lt;&gt;0),1,0)+IF(AND(10&gt;Paramètres!$B$9,Charges!O122&lt;&gt;"",Charges!O122&lt;&gt;0),1,0)+IF(AND(11&gt;Paramètres!$B$9,Charges!P122&lt;&gt;"",Charges!P122&lt;&gt;0),1,0)+IF(AND(12&gt;Paramètres!$B$9,Charges!Q122&lt;&gt;"",Charges!Q122&lt;&gt;0),1,0)+IF(AND(13&gt;Paramètres!$B$9,Charges!R122&lt;&gt;"",Charges!R122&lt;&gt;0),1,0)</f>
        <v>0</v>
      </c>
      <c r="V122" t="n">
        <f>IF(IFERROR(VLOOKUP(A122,'Projets'!$A$8:$Z$67,5,FALSE),"")="Engager",1,0)</f>
        <v>0</v>
      </c>
      <c r="W122" t="n">
        <f>IF(IFERROR(VLOOKUP(A122,'Projets'!$A$8:$Z$67,6,FALSE),"")="Engager",1,0)</f>
        <v>0</v>
      </c>
      <c r="X122" t="n">
        <f>E122*S122</f>
        <v>0</v>
      </c>
      <c r="Y122" t="n">
        <f>F122*S122</f>
        <v>0</v>
      </c>
      <c r="Z122" t="n">
        <f>G122*S122</f>
        <v>0</v>
      </c>
      <c r="AA122" t="n">
        <f>H122*S122</f>
        <v>0</v>
      </c>
      <c r="AB122" t="n">
        <f>I122*S122</f>
        <v>0</v>
      </c>
      <c r="AC122" t="n">
        <f>J122*S122</f>
        <v>0</v>
      </c>
      <c r="AD122" t="n">
        <f>K122*S122</f>
        <v>0</v>
      </c>
      <c r="AE122" t="n">
        <f>L122*S122</f>
        <v>0</v>
      </c>
      <c r="AF122" t="n">
        <f>M122*S122</f>
        <v>0</v>
      </c>
      <c r="AG122" t="n">
        <f>N122*S122</f>
        <v>0</v>
      </c>
      <c r="AH122" t="n">
        <f>O122*S122</f>
        <v>0</v>
      </c>
      <c r="AI122" t="n">
        <f>P122*S122</f>
        <v>0</v>
      </c>
      <c r="AJ122" t="n">
        <f>Q122*S122</f>
        <v>0</v>
      </c>
      <c r="AK122" t="n">
        <f>E122*V122</f>
        <v>0</v>
      </c>
      <c r="AL122" t="n">
        <f>F122*V122</f>
        <v>0</v>
      </c>
      <c r="AM122" t="n">
        <f>G122*V122</f>
        <v>0</v>
      </c>
      <c r="AN122" t="n">
        <f>H122*V122</f>
        <v>0</v>
      </c>
      <c r="AO122" t="n">
        <f>I122*V122</f>
        <v>0</v>
      </c>
      <c r="AP122" t="n">
        <f>J122*V122</f>
        <v>0</v>
      </c>
      <c r="AQ122" t="n">
        <f>K122*V122</f>
        <v>0</v>
      </c>
      <c r="AR122" t="n">
        <f>L122*V122</f>
        <v>0</v>
      </c>
      <c r="AS122" t="n">
        <f>M122*V122</f>
        <v>0</v>
      </c>
      <c r="AT122" t="n">
        <f>N122*V122</f>
        <v>0</v>
      </c>
      <c r="AU122" t="n">
        <f>O122*V122</f>
        <v>0</v>
      </c>
      <c r="AV122" t="n">
        <f>P122*V122</f>
        <v>0</v>
      </c>
      <c r="AW122" t="n">
        <f>Q122*V122</f>
        <v>0</v>
      </c>
      <c r="AX122" t="n">
        <f>E122*W122</f>
        <v>0</v>
      </c>
      <c r="AY122" t="n">
        <f>F122*W122</f>
        <v>0</v>
      </c>
      <c r="AZ122" t="n">
        <f>G122*W122</f>
        <v>0</v>
      </c>
      <c r="BA122" t="n">
        <f>H122*W122</f>
        <v>0</v>
      </c>
      <c r="BB122" t="n">
        <f>I122*W122</f>
        <v>0</v>
      </c>
      <c r="BC122" t="n">
        <f>J122*W122</f>
        <v>0</v>
      </c>
      <c r="BD122" t="n">
        <f>K122*W122</f>
        <v>0</v>
      </c>
      <c r="BE122" t="n">
        <f>L122*W122</f>
        <v>0</v>
      </c>
      <c r="BF122" t="n">
        <f>M122*W122</f>
        <v>0</v>
      </c>
      <c r="BG122" t="n">
        <f>N122*W122</f>
        <v>0</v>
      </c>
      <c r="BH122" t="n">
        <f>O122*W122</f>
        <v>0</v>
      </c>
      <c r="BI122" t="n">
        <f>P122*W122</f>
        <v>0</v>
      </c>
      <c r="BJ122" t="n">
        <f>Q122*W122</f>
        <v>0</v>
      </c>
    </row>
    <row r="123">
      <c r="A123" t="n">
        <f>Charges!A123</f>
        <v>0</v>
      </c>
      <c r="B123" t="n">
        <f>Charges!C123</f>
        <v>0</v>
      </c>
      <c r="C123" t="str">
        <f>Charges!D123</f>
        <v/>
      </c>
      <c r="E123" t="n">
        <f>IF(1&lt;=Paramètres!$B$9,MAX(0,IFERROR(N(IF(ISNUMBER(Charges!F123),MAX(0,Charges!F123),IFERROR(VLOOKUP(Charges!F123,Paramètres!$A$15:$B$18,2,FALSE),0))),0)),0)</f>
        <v>0</v>
      </c>
      <c r="F123" t="n">
        <f>IF(2&lt;=Paramètres!$B$9,MAX(0,IFERROR(N(IF(ISNUMBER(Charges!G123),MAX(0,Charges!G123),IFERROR(VLOOKUP(Charges!G123,Paramètres!$A$15:$B$18,2,FALSE),0))),0)),0)</f>
        <v>0</v>
      </c>
      <c r="G123" t="n">
        <f>IF(3&lt;=Paramètres!$B$9,MAX(0,IFERROR(N(IF(ISNUMBER(Charges!H123),MAX(0,Charges!H123),IFERROR(VLOOKUP(Charges!H123,Paramètres!$A$15:$B$18,2,FALSE),0))),0)),0)</f>
        <v>0</v>
      </c>
      <c r="H123" t="n">
        <f>IF(4&lt;=Paramètres!$B$9,MAX(0,IFERROR(N(IF(ISNUMBER(Charges!I123),MAX(0,Charges!I123),IFERROR(VLOOKUP(Charges!I123,Paramètres!$A$15:$B$18,2,FALSE),0))),0)),0)</f>
        <v>0</v>
      </c>
      <c r="I123" t="n">
        <f>IF(5&lt;=Paramètres!$B$9,MAX(0,IFERROR(N(IF(ISNUMBER(Charges!J123),MAX(0,Charges!J123),IFERROR(VLOOKUP(Charges!J123,Paramètres!$A$15:$B$18,2,FALSE),0))),0)),0)</f>
        <v>0</v>
      </c>
      <c r="J123" t="n">
        <f>IF(6&lt;=Paramètres!$B$9,MAX(0,IFERROR(N(IF(ISNUMBER(Charges!K123),MAX(0,Charges!K123),IFERROR(VLOOKUP(Charges!K123,Paramètres!$A$15:$B$18,2,FALSE),0))),0)),0)</f>
        <v>0</v>
      </c>
      <c r="K123" t="n">
        <f>IF(7&lt;=Paramètres!$B$9,MAX(0,IFERROR(N(IF(ISNUMBER(Charges!L123),MAX(0,Charges!L123),IFERROR(VLOOKUP(Charges!L123,Paramètres!$A$15:$B$18,2,FALSE),0))),0)),0)</f>
        <v>0</v>
      </c>
      <c r="L123" t="n">
        <f>IF(8&lt;=Paramètres!$B$9,MAX(0,IFERROR(N(IF(ISNUMBER(Charges!M123),MAX(0,Charges!M123),IFERROR(VLOOKUP(Charges!M123,Paramètres!$A$15:$B$18,2,FALSE),0))),0)),0)</f>
        <v>0</v>
      </c>
      <c r="M123" t="n">
        <f>IF(9&lt;=Paramètres!$B$9,MAX(0,IFERROR(N(IF(ISNUMBER(Charges!N123),MAX(0,Charges!N123),IFERROR(VLOOKUP(Charges!N123,Paramètres!$A$15:$B$18,2,FALSE),0))),0)),0)</f>
        <v>0</v>
      </c>
      <c r="N123" t="n">
        <f>IF(10&lt;=Paramètres!$B$9,MAX(0,IFERROR(N(IF(ISNUMBER(Charges!O123),MAX(0,Charges!O123),IFERROR(VLOOKUP(Charges!O123,Paramètres!$A$15:$B$18,2,FALSE),0))),0)),0)</f>
        <v>0</v>
      </c>
      <c r="O123" t="n">
        <f>IF(11&lt;=Paramètres!$B$9,MAX(0,IFERROR(N(IF(ISNUMBER(Charges!P123),MAX(0,Charges!P123),IFERROR(VLOOKUP(Charges!P123,Paramètres!$A$15:$B$18,2,FALSE),0))),0)),0)</f>
        <v>0</v>
      </c>
      <c r="P123" t="n">
        <f>IF(12&lt;=Paramètres!$B$9,MAX(0,IFERROR(N(IF(ISNUMBER(Charges!Q123),MAX(0,Charges!Q123),IFERROR(VLOOKUP(Charges!Q123,Paramètres!$A$15:$B$18,2,FALSE),0))),0)),0)</f>
        <v>0</v>
      </c>
      <c r="Q123" t="n">
        <f>IF(13&lt;=Paramètres!$B$9,MAX(0,IFERROR(N(IF(ISNUMBER(Charges!R123),MAX(0,Charges!R123),IFERROR(VLOOKUP(Charges!R123,Paramètres!$A$15:$B$18,2,FALSE),0))),0)),0)</f>
        <v>0</v>
      </c>
      <c r="R123" t="n">
        <f>SUM(E123:Q123)</f>
        <v>0</v>
      </c>
      <c r="S123" t="n">
        <f>IF(IFERROR(VLOOKUP(A123,'Projets'!$A$8:$Z$67,7,FALSE),"")="Engager",1,0)</f>
        <v>0</v>
      </c>
      <c r="T123" t="n">
        <f>IF(OR(Charges!F123="",AND(ISNUMBER(Charges!F123),Charges!F123&gt;=0),Charges!F123="S",Charges!F123="M",Charges!F123="L",Charges!F123="XL"),0,1)+IF(OR(Charges!G123="",AND(ISNUMBER(Charges!G123),Charges!G123&gt;=0),Charges!G123="S",Charges!G123="M",Charges!G123="L",Charges!G123="XL"),0,1)+IF(OR(Charges!H123="",AND(ISNUMBER(Charges!H123),Charges!H123&gt;=0),Charges!H123="S",Charges!H123="M",Charges!H123="L",Charges!H123="XL"),0,1)+IF(OR(Charges!I123="",AND(ISNUMBER(Charges!I123),Charges!I123&gt;=0),Charges!I123="S",Charges!I123="M",Charges!I123="L",Charges!I123="XL"),0,1)+IF(OR(Charges!J123="",AND(ISNUMBER(Charges!J123),Charges!J123&gt;=0),Charges!J123="S",Charges!J123="M",Charges!J123="L",Charges!J123="XL"),0,1)+IF(OR(Charges!K123="",AND(ISNUMBER(Charges!K123),Charges!K123&gt;=0),Charges!K123="S",Charges!K123="M",Charges!K123="L",Charges!K123="XL"),0,1)+IF(OR(Charges!L123="",AND(ISNUMBER(Charges!L123),Charges!L123&gt;=0),Charges!L123="S",Charges!L123="M",Charges!L123="L",Charges!L123="XL"),0,1)+IF(OR(Charges!M123="",AND(ISNUMBER(Charges!M123),Charges!M123&gt;=0),Charges!M123="S",Charges!M123="M",Charges!M123="L",Charges!M123="XL"),0,1)+IF(OR(Charges!N123="",AND(ISNUMBER(Charges!N123),Charges!N123&gt;=0),Charges!N123="S",Charges!N123="M",Charges!N123="L",Charges!N123="XL"),0,1)+IF(OR(Charges!O123="",AND(ISNUMBER(Charges!O123),Charges!O123&gt;=0),Charges!O123="S",Charges!O123="M",Charges!O123="L",Charges!O123="XL"),0,1)+IF(OR(Charges!P123="",AND(ISNUMBER(Charges!P123),Charges!P123&gt;=0),Charges!P123="S",Charges!P123="M",Charges!P123="L",Charges!P123="XL"),0,1)+IF(OR(Charges!Q123="",AND(ISNUMBER(Charges!Q123),Charges!Q123&gt;=0),Charges!Q123="S",Charges!Q123="M",Charges!Q123="L",Charges!Q123="XL"),0,1)+IF(OR(Charges!R123="",AND(ISNUMBER(Charges!R123),Charges!R123&gt;=0),Charges!R123="S",Charges!R123="M",Charges!R123="L",Charges!R123="XL"),0,1)</f>
        <v>0</v>
      </c>
      <c r="U123" t="n">
        <f>IF(AND(1&gt;Paramètres!$B$9,Charges!F123&lt;&gt;"",Charges!F123&lt;&gt;0),1,0)+IF(AND(2&gt;Paramètres!$B$9,Charges!G123&lt;&gt;"",Charges!G123&lt;&gt;0),1,0)+IF(AND(3&gt;Paramètres!$B$9,Charges!H123&lt;&gt;"",Charges!H123&lt;&gt;0),1,0)+IF(AND(4&gt;Paramètres!$B$9,Charges!I123&lt;&gt;"",Charges!I123&lt;&gt;0),1,0)+IF(AND(5&gt;Paramètres!$B$9,Charges!J123&lt;&gt;"",Charges!J123&lt;&gt;0),1,0)+IF(AND(6&gt;Paramètres!$B$9,Charges!K123&lt;&gt;"",Charges!K123&lt;&gt;0),1,0)+IF(AND(7&gt;Paramètres!$B$9,Charges!L123&lt;&gt;"",Charges!L123&lt;&gt;0),1,0)+IF(AND(8&gt;Paramètres!$B$9,Charges!M123&lt;&gt;"",Charges!M123&lt;&gt;0),1,0)+IF(AND(9&gt;Paramètres!$B$9,Charges!N123&lt;&gt;"",Charges!N123&lt;&gt;0),1,0)+IF(AND(10&gt;Paramètres!$B$9,Charges!O123&lt;&gt;"",Charges!O123&lt;&gt;0),1,0)+IF(AND(11&gt;Paramètres!$B$9,Charges!P123&lt;&gt;"",Charges!P123&lt;&gt;0),1,0)+IF(AND(12&gt;Paramètres!$B$9,Charges!Q123&lt;&gt;"",Charges!Q123&lt;&gt;0),1,0)+IF(AND(13&gt;Paramètres!$B$9,Charges!R123&lt;&gt;"",Charges!R123&lt;&gt;0),1,0)</f>
        <v>0</v>
      </c>
      <c r="V123" t="n">
        <f>IF(IFERROR(VLOOKUP(A123,'Projets'!$A$8:$Z$67,5,FALSE),"")="Engager",1,0)</f>
        <v>0</v>
      </c>
      <c r="W123" t="n">
        <f>IF(IFERROR(VLOOKUP(A123,'Projets'!$A$8:$Z$67,6,FALSE),"")="Engager",1,0)</f>
        <v>0</v>
      </c>
      <c r="X123" t="n">
        <f>E123*S123</f>
        <v>0</v>
      </c>
      <c r="Y123" t="n">
        <f>F123*S123</f>
        <v>0</v>
      </c>
      <c r="Z123" t="n">
        <f>G123*S123</f>
        <v>0</v>
      </c>
      <c r="AA123" t="n">
        <f>H123*S123</f>
        <v>0</v>
      </c>
      <c r="AB123" t="n">
        <f>I123*S123</f>
        <v>0</v>
      </c>
      <c r="AC123" t="n">
        <f>J123*S123</f>
        <v>0</v>
      </c>
      <c r="AD123" t="n">
        <f>K123*S123</f>
        <v>0</v>
      </c>
      <c r="AE123" t="n">
        <f>L123*S123</f>
        <v>0</v>
      </c>
      <c r="AF123" t="n">
        <f>M123*S123</f>
        <v>0</v>
      </c>
      <c r="AG123" t="n">
        <f>N123*S123</f>
        <v>0</v>
      </c>
      <c r="AH123" t="n">
        <f>O123*S123</f>
        <v>0</v>
      </c>
      <c r="AI123" t="n">
        <f>P123*S123</f>
        <v>0</v>
      </c>
      <c r="AJ123" t="n">
        <f>Q123*S123</f>
        <v>0</v>
      </c>
      <c r="AK123" t="n">
        <f>E123*V123</f>
        <v>0</v>
      </c>
      <c r="AL123" t="n">
        <f>F123*V123</f>
        <v>0</v>
      </c>
      <c r="AM123" t="n">
        <f>G123*V123</f>
        <v>0</v>
      </c>
      <c r="AN123" t="n">
        <f>H123*V123</f>
        <v>0</v>
      </c>
      <c r="AO123" t="n">
        <f>I123*V123</f>
        <v>0</v>
      </c>
      <c r="AP123" t="n">
        <f>J123*V123</f>
        <v>0</v>
      </c>
      <c r="AQ123" t="n">
        <f>K123*V123</f>
        <v>0</v>
      </c>
      <c r="AR123" t="n">
        <f>L123*V123</f>
        <v>0</v>
      </c>
      <c r="AS123" t="n">
        <f>M123*V123</f>
        <v>0</v>
      </c>
      <c r="AT123" t="n">
        <f>N123*V123</f>
        <v>0</v>
      </c>
      <c r="AU123" t="n">
        <f>O123*V123</f>
        <v>0</v>
      </c>
      <c r="AV123" t="n">
        <f>P123*V123</f>
        <v>0</v>
      </c>
      <c r="AW123" t="n">
        <f>Q123*V123</f>
        <v>0</v>
      </c>
      <c r="AX123" t="n">
        <f>E123*W123</f>
        <v>0</v>
      </c>
      <c r="AY123" t="n">
        <f>F123*W123</f>
        <v>0</v>
      </c>
      <c r="AZ123" t="n">
        <f>G123*W123</f>
        <v>0</v>
      </c>
      <c r="BA123" t="n">
        <f>H123*W123</f>
        <v>0</v>
      </c>
      <c r="BB123" t="n">
        <f>I123*W123</f>
        <v>0</v>
      </c>
      <c r="BC123" t="n">
        <f>J123*W123</f>
        <v>0</v>
      </c>
      <c r="BD123" t="n">
        <f>K123*W123</f>
        <v>0</v>
      </c>
      <c r="BE123" t="n">
        <f>L123*W123</f>
        <v>0</v>
      </c>
      <c r="BF123" t="n">
        <f>M123*W123</f>
        <v>0</v>
      </c>
      <c r="BG123" t="n">
        <f>N123*W123</f>
        <v>0</v>
      </c>
      <c r="BH123" t="n">
        <f>O123*W123</f>
        <v>0</v>
      </c>
      <c r="BI123" t="n">
        <f>P123*W123</f>
        <v>0</v>
      </c>
      <c r="BJ123" t="n">
        <f>Q123*W123</f>
        <v>0</v>
      </c>
    </row>
    <row r="124">
      <c r="A124" t="n">
        <f>Charges!A124</f>
        <v>0</v>
      </c>
      <c r="B124" t="n">
        <f>Charges!C124</f>
        <v>0</v>
      </c>
      <c r="C124" t="str">
        <f>Charges!D124</f>
        <v/>
      </c>
      <c r="E124" t="n">
        <f>IF(1&lt;=Paramètres!$B$9,MAX(0,IFERROR(N(IF(ISNUMBER(Charges!F124),MAX(0,Charges!F124),IFERROR(VLOOKUP(Charges!F124,Paramètres!$A$15:$B$18,2,FALSE),0))),0)),0)</f>
        <v>0</v>
      </c>
      <c r="F124" t="n">
        <f>IF(2&lt;=Paramètres!$B$9,MAX(0,IFERROR(N(IF(ISNUMBER(Charges!G124),MAX(0,Charges!G124),IFERROR(VLOOKUP(Charges!G124,Paramètres!$A$15:$B$18,2,FALSE),0))),0)),0)</f>
        <v>0</v>
      </c>
      <c r="G124" t="n">
        <f>IF(3&lt;=Paramètres!$B$9,MAX(0,IFERROR(N(IF(ISNUMBER(Charges!H124),MAX(0,Charges!H124),IFERROR(VLOOKUP(Charges!H124,Paramètres!$A$15:$B$18,2,FALSE),0))),0)),0)</f>
        <v>0</v>
      </c>
      <c r="H124" t="n">
        <f>IF(4&lt;=Paramètres!$B$9,MAX(0,IFERROR(N(IF(ISNUMBER(Charges!I124),MAX(0,Charges!I124),IFERROR(VLOOKUP(Charges!I124,Paramètres!$A$15:$B$18,2,FALSE),0))),0)),0)</f>
        <v>0</v>
      </c>
      <c r="I124" t="n">
        <f>IF(5&lt;=Paramètres!$B$9,MAX(0,IFERROR(N(IF(ISNUMBER(Charges!J124),MAX(0,Charges!J124),IFERROR(VLOOKUP(Charges!J124,Paramètres!$A$15:$B$18,2,FALSE),0))),0)),0)</f>
        <v>0</v>
      </c>
      <c r="J124" t="n">
        <f>IF(6&lt;=Paramètres!$B$9,MAX(0,IFERROR(N(IF(ISNUMBER(Charges!K124),MAX(0,Charges!K124),IFERROR(VLOOKUP(Charges!K124,Paramètres!$A$15:$B$18,2,FALSE),0))),0)),0)</f>
        <v>0</v>
      </c>
      <c r="K124" t="n">
        <f>IF(7&lt;=Paramètres!$B$9,MAX(0,IFERROR(N(IF(ISNUMBER(Charges!L124),MAX(0,Charges!L124),IFERROR(VLOOKUP(Charges!L124,Paramètres!$A$15:$B$18,2,FALSE),0))),0)),0)</f>
        <v>0</v>
      </c>
      <c r="L124" t="n">
        <f>IF(8&lt;=Paramètres!$B$9,MAX(0,IFERROR(N(IF(ISNUMBER(Charges!M124),MAX(0,Charges!M124),IFERROR(VLOOKUP(Charges!M124,Paramètres!$A$15:$B$18,2,FALSE),0))),0)),0)</f>
        <v>0</v>
      </c>
      <c r="M124" t="n">
        <f>IF(9&lt;=Paramètres!$B$9,MAX(0,IFERROR(N(IF(ISNUMBER(Charges!N124),MAX(0,Charges!N124),IFERROR(VLOOKUP(Charges!N124,Paramètres!$A$15:$B$18,2,FALSE),0))),0)),0)</f>
        <v>0</v>
      </c>
      <c r="N124" t="n">
        <f>IF(10&lt;=Paramètres!$B$9,MAX(0,IFERROR(N(IF(ISNUMBER(Charges!O124),MAX(0,Charges!O124),IFERROR(VLOOKUP(Charges!O124,Paramètres!$A$15:$B$18,2,FALSE),0))),0)),0)</f>
        <v>0</v>
      </c>
      <c r="O124" t="n">
        <f>IF(11&lt;=Paramètres!$B$9,MAX(0,IFERROR(N(IF(ISNUMBER(Charges!P124),MAX(0,Charges!P124),IFERROR(VLOOKUP(Charges!P124,Paramètres!$A$15:$B$18,2,FALSE),0))),0)),0)</f>
        <v>0</v>
      </c>
      <c r="P124" t="n">
        <f>IF(12&lt;=Paramètres!$B$9,MAX(0,IFERROR(N(IF(ISNUMBER(Charges!Q124),MAX(0,Charges!Q124),IFERROR(VLOOKUP(Charges!Q124,Paramètres!$A$15:$B$18,2,FALSE),0))),0)),0)</f>
        <v>0</v>
      </c>
      <c r="Q124" t="n">
        <f>IF(13&lt;=Paramètres!$B$9,MAX(0,IFERROR(N(IF(ISNUMBER(Charges!R124),MAX(0,Charges!R124),IFERROR(VLOOKUP(Charges!R124,Paramètres!$A$15:$B$18,2,FALSE),0))),0)),0)</f>
        <v>0</v>
      </c>
      <c r="R124" t="n">
        <f>SUM(E124:Q124)</f>
        <v>0</v>
      </c>
      <c r="S124" t="n">
        <f>IF(IFERROR(VLOOKUP(A124,'Projets'!$A$8:$Z$67,7,FALSE),"")="Engager",1,0)</f>
        <v>0</v>
      </c>
      <c r="T124" t="n">
        <f>IF(OR(Charges!F124="",AND(ISNUMBER(Charges!F124),Charges!F124&gt;=0),Charges!F124="S",Charges!F124="M",Charges!F124="L",Charges!F124="XL"),0,1)+IF(OR(Charges!G124="",AND(ISNUMBER(Charges!G124),Charges!G124&gt;=0),Charges!G124="S",Charges!G124="M",Charges!G124="L",Charges!G124="XL"),0,1)+IF(OR(Charges!H124="",AND(ISNUMBER(Charges!H124),Charges!H124&gt;=0),Charges!H124="S",Charges!H124="M",Charges!H124="L",Charges!H124="XL"),0,1)+IF(OR(Charges!I124="",AND(ISNUMBER(Charges!I124),Charges!I124&gt;=0),Charges!I124="S",Charges!I124="M",Charges!I124="L",Charges!I124="XL"),0,1)+IF(OR(Charges!J124="",AND(ISNUMBER(Charges!J124),Charges!J124&gt;=0),Charges!J124="S",Charges!J124="M",Charges!J124="L",Charges!J124="XL"),0,1)+IF(OR(Charges!K124="",AND(ISNUMBER(Charges!K124),Charges!K124&gt;=0),Charges!K124="S",Charges!K124="M",Charges!K124="L",Charges!K124="XL"),0,1)+IF(OR(Charges!L124="",AND(ISNUMBER(Charges!L124),Charges!L124&gt;=0),Charges!L124="S",Charges!L124="M",Charges!L124="L",Charges!L124="XL"),0,1)+IF(OR(Charges!M124="",AND(ISNUMBER(Charges!M124),Charges!M124&gt;=0),Charges!M124="S",Charges!M124="M",Charges!M124="L",Charges!M124="XL"),0,1)+IF(OR(Charges!N124="",AND(ISNUMBER(Charges!N124),Charges!N124&gt;=0),Charges!N124="S",Charges!N124="M",Charges!N124="L",Charges!N124="XL"),0,1)+IF(OR(Charges!O124="",AND(ISNUMBER(Charges!O124),Charges!O124&gt;=0),Charges!O124="S",Charges!O124="M",Charges!O124="L",Charges!O124="XL"),0,1)+IF(OR(Charges!P124="",AND(ISNUMBER(Charges!P124),Charges!P124&gt;=0),Charges!P124="S",Charges!P124="M",Charges!P124="L",Charges!P124="XL"),0,1)+IF(OR(Charges!Q124="",AND(ISNUMBER(Charges!Q124),Charges!Q124&gt;=0),Charges!Q124="S",Charges!Q124="M",Charges!Q124="L",Charges!Q124="XL"),0,1)+IF(OR(Charges!R124="",AND(ISNUMBER(Charges!R124),Charges!R124&gt;=0),Charges!R124="S",Charges!R124="M",Charges!R124="L",Charges!R124="XL"),0,1)</f>
        <v>0</v>
      </c>
      <c r="U124" t="n">
        <f>IF(AND(1&gt;Paramètres!$B$9,Charges!F124&lt;&gt;"",Charges!F124&lt;&gt;0),1,0)+IF(AND(2&gt;Paramètres!$B$9,Charges!G124&lt;&gt;"",Charges!G124&lt;&gt;0),1,0)+IF(AND(3&gt;Paramètres!$B$9,Charges!H124&lt;&gt;"",Charges!H124&lt;&gt;0),1,0)+IF(AND(4&gt;Paramètres!$B$9,Charges!I124&lt;&gt;"",Charges!I124&lt;&gt;0),1,0)+IF(AND(5&gt;Paramètres!$B$9,Charges!J124&lt;&gt;"",Charges!J124&lt;&gt;0),1,0)+IF(AND(6&gt;Paramètres!$B$9,Charges!K124&lt;&gt;"",Charges!K124&lt;&gt;0),1,0)+IF(AND(7&gt;Paramètres!$B$9,Charges!L124&lt;&gt;"",Charges!L124&lt;&gt;0),1,0)+IF(AND(8&gt;Paramètres!$B$9,Charges!M124&lt;&gt;"",Charges!M124&lt;&gt;0),1,0)+IF(AND(9&gt;Paramètres!$B$9,Charges!N124&lt;&gt;"",Charges!N124&lt;&gt;0),1,0)+IF(AND(10&gt;Paramètres!$B$9,Charges!O124&lt;&gt;"",Charges!O124&lt;&gt;0),1,0)+IF(AND(11&gt;Paramètres!$B$9,Charges!P124&lt;&gt;"",Charges!P124&lt;&gt;0),1,0)+IF(AND(12&gt;Paramètres!$B$9,Charges!Q124&lt;&gt;"",Charges!Q124&lt;&gt;0),1,0)+IF(AND(13&gt;Paramètres!$B$9,Charges!R124&lt;&gt;"",Charges!R124&lt;&gt;0),1,0)</f>
        <v>0</v>
      </c>
      <c r="V124" t="n">
        <f>IF(IFERROR(VLOOKUP(A124,'Projets'!$A$8:$Z$67,5,FALSE),"")="Engager",1,0)</f>
        <v>0</v>
      </c>
      <c r="W124" t="n">
        <f>IF(IFERROR(VLOOKUP(A124,'Projets'!$A$8:$Z$67,6,FALSE),"")="Engager",1,0)</f>
        <v>0</v>
      </c>
      <c r="X124" t="n">
        <f>E124*S124</f>
        <v>0</v>
      </c>
      <c r="Y124" t="n">
        <f>F124*S124</f>
        <v>0</v>
      </c>
      <c r="Z124" t="n">
        <f>G124*S124</f>
        <v>0</v>
      </c>
      <c r="AA124" t="n">
        <f>H124*S124</f>
        <v>0</v>
      </c>
      <c r="AB124" t="n">
        <f>I124*S124</f>
        <v>0</v>
      </c>
      <c r="AC124" t="n">
        <f>J124*S124</f>
        <v>0</v>
      </c>
      <c r="AD124" t="n">
        <f>K124*S124</f>
        <v>0</v>
      </c>
      <c r="AE124" t="n">
        <f>L124*S124</f>
        <v>0</v>
      </c>
      <c r="AF124" t="n">
        <f>M124*S124</f>
        <v>0</v>
      </c>
      <c r="AG124" t="n">
        <f>N124*S124</f>
        <v>0</v>
      </c>
      <c r="AH124" t="n">
        <f>O124*S124</f>
        <v>0</v>
      </c>
      <c r="AI124" t="n">
        <f>P124*S124</f>
        <v>0</v>
      </c>
      <c r="AJ124" t="n">
        <f>Q124*S124</f>
        <v>0</v>
      </c>
      <c r="AK124" t="n">
        <f>E124*V124</f>
        <v>0</v>
      </c>
      <c r="AL124" t="n">
        <f>F124*V124</f>
        <v>0</v>
      </c>
      <c r="AM124" t="n">
        <f>G124*V124</f>
        <v>0</v>
      </c>
      <c r="AN124" t="n">
        <f>H124*V124</f>
        <v>0</v>
      </c>
      <c r="AO124" t="n">
        <f>I124*V124</f>
        <v>0</v>
      </c>
      <c r="AP124" t="n">
        <f>J124*V124</f>
        <v>0</v>
      </c>
      <c r="AQ124" t="n">
        <f>K124*V124</f>
        <v>0</v>
      </c>
      <c r="AR124" t="n">
        <f>L124*V124</f>
        <v>0</v>
      </c>
      <c r="AS124" t="n">
        <f>M124*V124</f>
        <v>0</v>
      </c>
      <c r="AT124" t="n">
        <f>N124*V124</f>
        <v>0</v>
      </c>
      <c r="AU124" t="n">
        <f>O124*V124</f>
        <v>0</v>
      </c>
      <c r="AV124" t="n">
        <f>P124*V124</f>
        <v>0</v>
      </c>
      <c r="AW124" t="n">
        <f>Q124*V124</f>
        <v>0</v>
      </c>
      <c r="AX124" t="n">
        <f>E124*W124</f>
        <v>0</v>
      </c>
      <c r="AY124" t="n">
        <f>F124*W124</f>
        <v>0</v>
      </c>
      <c r="AZ124" t="n">
        <f>G124*W124</f>
        <v>0</v>
      </c>
      <c r="BA124" t="n">
        <f>H124*W124</f>
        <v>0</v>
      </c>
      <c r="BB124" t="n">
        <f>I124*W124</f>
        <v>0</v>
      </c>
      <c r="BC124" t="n">
        <f>J124*W124</f>
        <v>0</v>
      </c>
      <c r="BD124" t="n">
        <f>K124*W124</f>
        <v>0</v>
      </c>
      <c r="BE124" t="n">
        <f>L124*W124</f>
        <v>0</v>
      </c>
      <c r="BF124" t="n">
        <f>M124*W124</f>
        <v>0</v>
      </c>
      <c r="BG124" t="n">
        <f>N124*W124</f>
        <v>0</v>
      </c>
      <c r="BH124" t="n">
        <f>O124*W124</f>
        <v>0</v>
      </c>
      <c r="BI124" t="n">
        <f>P124*W124</f>
        <v>0</v>
      </c>
      <c r="BJ124" t="n">
        <f>Q124*W124</f>
        <v>0</v>
      </c>
    </row>
    <row r="125">
      <c r="A125" t="n">
        <f>Charges!A125</f>
        <v>0</v>
      </c>
      <c r="B125" t="n">
        <f>Charges!C125</f>
        <v>0</v>
      </c>
      <c r="C125" t="str">
        <f>Charges!D125</f>
        <v/>
      </c>
      <c r="E125" t="n">
        <f>IF(1&lt;=Paramètres!$B$9,MAX(0,IFERROR(N(IF(ISNUMBER(Charges!F125),MAX(0,Charges!F125),IFERROR(VLOOKUP(Charges!F125,Paramètres!$A$15:$B$18,2,FALSE),0))),0)),0)</f>
        <v>0</v>
      </c>
      <c r="F125" t="n">
        <f>IF(2&lt;=Paramètres!$B$9,MAX(0,IFERROR(N(IF(ISNUMBER(Charges!G125),MAX(0,Charges!G125),IFERROR(VLOOKUP(Charges!G125,Paramètres!$A$15:$B$18,2,FALSE),0))),0)),0)</f>
        <v>0</v>
      </c>
      <c r="G125" t="n">
        <f>IF(3&lt;=Paramètres!$B$9,MAX(0,IFERROR(N(IF(ISNUMBER(Charges!H125),MAX(0,Charges!H125),IFERROR(VLOOKUP(Charges!H125,Paramètres!$A$15:$B$18,2,FALSE),0))),0)),0)</f>
        <v>0</v>
      </c>
      <c r="H125" t="n">
        <f>IF(4&lt;=Paramètres!$B$9,MAX(0,IFERROR(N(IF(ISNUMBER(Charges!I125),MAX(0,Charges!I125),IFERROR(VLOOKUP(Charges!I125,Paramètres!$A$15:$B$18,2,FALSE),0))),0)),0)</f>
        <v>0</v>
      </c>
      <c r="I125" t="n">
        <f>IF(5&lt;=Paramètres!$B$9,MAX(0,IFERROR(N(IF(ISNUMBER(Charges!J125),MAX(0,Charges!J125),IFERROR(VLOOKUP(Charges!J125,Paramètres!$A$15:$B$18,2,FALSE),0))),0)),0)</f>
        <v>0</v>
      </c>
      <c r="J125" t="n">
        <f>IF(6&lt;=Paramètres!$B$9,MAX(0,IFERROR(N(IF(ISNUMBER(Charges!K125),MAX(0,Charges!K125),IFERROR(VLOOKUP(Charges!K125,Paramètres!$A$15:$B$18,2,FALSE),0))),0)),0)</f>
        <v>0</v>
      </c>
      <c r="K125" t="n">
        <f>IF(7&lt;=Paramètres!$B$9,MAX(0,IFERROR(N(IF(ISNUMBER(Charges!L125),MAX(0,Charges!L125),IFERROR(VLOOKUP(Charges!L125,Paramètres!$A$15:$B$18,2,FALSE),0))),0)),0)</f>
        <v>0</v>
      </c>
      <c r="L125" t="n">
        <f>IF(8&lt;=Paramètres!$B$9,MAX(0,IFERROR(N(IF(ISNUMBER(Charges!M125),MAX(0,Charges!M125),IFERROR(VLOOKUP(Charges!M125,Paramètres!$A$15:$B$18,2,FALSE),0))),0)),0)</f>
        <v>0</v>
      </c>
      <c r="M125" t="n">
        <f>IF(9&lt;=Paramètres!$B$9,MAX(0,IFERROR(N(IF(ISNUMBER(Charges!N125),MAX(0,Charges!N125),IFERROR(VLOOKUP(Charges!N125,Paramètres!$A$15:$B$18,2,FALSE),0))),0)),0)</f>
        <v>0</v>
      </c>
      <c r="N125" t="n">
        <f>IF(10&lt;=Paramètres!$B$9,MAX(0,IFERROR(N(IF(ISNUMBER(Charges!O125),MAX(0,Charges!O125),IFERROR(VLOOKUP(Charges!O125,Paramètres!$A$15:$B$18,2,FALSE),0))),0)),0)</f>
        <v>0</v>
      </c>
      <c r="O125" t="n">
        <f>IF(11&lt;=Paramètres!$B$9,MAX(0,IFERROR(N(IF(ISNUMBER(Charges!P125),MAX(0,Charges!P125),IFERROR(VLOOKUP(Charges!P125,Paramètres!$A$15:$B$18,2,FALSE),0))),0)),0)</f>
        <v>0</v>
      </c>
      <c r="P125" t="n">
        <f>IF(12&lt;=Paramètres!$B$9,MAX(0,IFERROR(N(IF(ISNUMBER(Charges!Q125),MAX(0,Charges!Q125),IFERROR(VLOOKUP(Charges!Q125,Paramètres!$A$15:$B$18,2,FALSE),0))),0)),0)</f>
        <v>0</v>
      </c>
      <c r="Q125" t="n">
        <f>IF(13&lt;=Paramètres!$B$9,MAX(0,IFERROR(N(IF(ISNUMBER(Charges!R125),MAX(0,Charges!R125),IFERROR(VLOOKUP(Charges!R125,Paramètres!$A$15:$B$18,2,FALSE),0))),0)),0)</f>
        <v>0</v>
      </c>
      <c r="R125" t="n">
        <f>SUM(E125:Q125)</f>
        <v>0</v>
      </c>
      <c r="S125" t="n">
        <f>IF(IFERROR(VLOOKUP(A125,'Projets'!$A$8:$Z$67,7,FALSE),"")="Engager",1,0)</f>
        <v>0</v>
      </c>
      <c r="T125" t="n">
        <f>IF(OR(Charges!F125="",AND(ISNUMBER(Charges!F125),Charges!F125&gt;=0),Charges!F125="S",Charges!F125="M",Charges!F125="L",Charges!F125="XL"),0,1)+IF(OR(Charges!G125="",AND(ISNUMBER(Charges!G125),Charges!G125&gt;=0),Charges!G125="S",Charges!G125="M",Charges!G125="L",Charges!G125="XL"),0,1)+IF(OR(Charges!H125="",AND(ISNUMBER(Charges!H125),Charges!H125&gt;=0),Charges!H125="S",Charges!H125="M",Charges!H125="L",Charges!H125="XL"),0,1)+IF(OR(Charges!I125="",AND(ISNUMBER(Charges!I125),Charges!I125&gt;=0),Charges!I125="S",Charges!I125="M",Charges!I125="L",Charges!I125="XL"),0,1)+IF(OR(Charges!J125="",AND(ISNUMBER(Charges!J125),Charges!J125&gt;=0),Charges!J125="S",Charges!J125="M",Charges!J125="L",Charges!J125="XL"),0,1)+IF(OR(Charges!K125="",AND(ISNUMBER(Charges!K125),Charges!K125&gt;=0),Charges!K125="S",Charges!K125="M",Charges!K125="L",Charges!K125="XL"),0,1)+IF(OR(Charges!L125="",AND(ISNUMBER(Charges!L125),Charges!L125&gt;=0),Charges!L125="S",Charges!L125="M",Charges!L125="L",Charges!L125="XL"),0,1)+IF(OR(Charges!M125="",AND(ISNUMBER(Charges!M125),Charges!M125&gt;=0),Charges!M125="S",Charges!M125="M",Charges!M125="L",Charges!M125="XL"),0,1)+IF(OR(Charges!N125="",AND(ISNUMBER(Charges!N125),Charges!N125&gt;=0),Charges!N125="S",Charges!N125="M",Charges!N125="L",Charges!N125="XL"),0,1)+IF(OR(Charges!O125="",AND(ISNUMBER(Charges!O125),Charges!O125&gt;=0),Charges!O125="S",Charges!O125="M",Charges!O125="L",Charges!O125="XL"),0,1)+IF(OR(Charges!P125="",AND(ISNUMBER(Charges!P125),Charges!P125&gt;=0),Charges!P125="S",Charges!P125="M",Charges!P125="L",Charges!P125="XL"),0,1)+IF(OR(Charges!Q125="",AND(ISNUMBER(Charges!Q125),Charges!Q125&gt;=0),Charges!Q125="S",Charges!Q125="M",Charges!Q125="L",Charges!Q125="XL"),0,1)+IF(OR(Charges!R125="",AND(ISNUMBER(Charges!R125),Charges!R125&gt;=0),Charges!R125="S",Charges!R125="M",Charges!R125="L",Charges!R125="XL"),0,1)</f>
        <v>0</v>
      </c>
      <c r="U125" t="n">
        <f>IF(AND(1&gt;Paramètres!$B$9,Charges!F125&lt;&gt;"",Charges!F125&lt;&gt;0),1,0)+IF(AND(2&gt;Paramètres!$B$9,Charges!G125&lt;&gt;"",Charges!G125&lt;&gt;0),1,0)+IF(AND(3&gt;Paramètres!$B$9,Charges!H125&lt;&gt;"",Charges!H125&lt;&gt;0),1,0)+IF(AND(4&gt;Paramètres!$B$9,Charges!I125&lt;&gt;"",Charges!I125&lt;&gt;0),1,0)+IF(AND(5&gt;Paramètres!$B$9,Charges!J125&lt;&gt;"",Charges!J125&lt;&gt;0),1,0)+IF(AND(6&gt;Paramètres!$B$9,Charges!K125&lt;&gt;"",Charges!K125&lt;&gt;0),1,0)+IF(AND(7&gt;Paramètres!$B$9,Charges!L125&lt;&gt;"",Charges!L125&lt;&gt;0),1,0)+IF(AND(8&gt;Paramètres!$B$9,Charges!M125&lt;&gt;"",Charges!M125&lt;&gt;0),1,0)+IF(AND(9&gt;Paramètres!$B$9,Charges!N125&lt;&gt;"",Charges!N125&lt;&gt;0),1,0)+IF(AND(10&gt;Paramètres!$B$9,Charges!O125&lt;&gt;"",Charges!O125&lt;&gt;0),1,0)+IF(AND(11&gt;Paramètres!$B$9,Charges!P125&lt;&gt;"",Charges!P125&lt;&gt;0),1,0)+IF(AND(12&gt;Paramètres!$B$9,Charges!Q125&lt;&gt;"",Charges!Q125&lt;&gt;0),1,0)+IF(AND(13&gt;Paramètres!$B$9,Charges!R125&lt;&gt;"",Charges!R125&lt;&gt;0),1,0)</f>
        <v>0</v>
      </c>
      <c r="V125" t="n">
        <f>IF(IFERROR(VLOOKUP(A125,'Projets'!$A$8:$Z$67,5,FALSE),"")="Engager",1,0)</f>
        <v>0</v>
      </c>
      <c r="W125" t="n">
        <f>IF(IFERROR(VLOOKUP(A125,'Projets'!$A$8:$Z$67,6,FALSE),"")="Engager",1,0)</f>
        <v>0</v>
      </c>
      <c r="X125" t="n">
        <f>E125*S125</f>
        <v>0</v>
      </c>
      <c r="Y125" t="n">
        <f>F125*S125</f>
        <v>0</v>
      </c>
      <c r="Z125" t="n">
        <f>G125*S125</f>
        <v>0</v>
      </c>
      <c r="AA125" t="n">
        <f>H125*S125</f>
        <v>0</v>
      </c>
      <c r="AB125" t="n">
        <f>I125*S125</f>
        <v>0</v>
      </c>
      <c r="AC125" t="n">
        <f>J125*S125</f>
        <v>0</v>
      </c>
      <c r="AD125" t="n">
        <f>K125*S125</f>
        <v>0</v>
      </c>
      <c r="AE125" t="n">
        <f>L125*S125</f>
        <v>0</v>
      </c>
      <c r="AF125" t="n">
        <f>M125*S125</f>
        <v>0</v>
      </c>
      <c r="AG125" t="n">
        <f>N125*S125</f>
        <v>0</v>
      </c>
      <c r="AH125" t="n">
        <f>O125*S125</f>
        <v>0</v>
      </c>
      <c r="AI125" t="n">
        <f>P125*S125</f>
        <v>0</v>
      </c>
      <c r="AJ125" t="n">
        <f>Q125*S125</f>
        <v>0</v>
      </c>
      <c r="AK125" t="n">
        <f>E125*V125</f>
        <v>0</v>
      </c>
      <c r="AL125" t="n">
        <f>F125*V125</f>
        <v>0</v>
      </c>
      <c r="AM125" t="n">
        <f>G125*V125</f>
        <v>0</v>
      </c>
      <c r="AN125" t="n">
        <f>H125*V125</f>
        <v>0</v>
      </c>
      <c r="AO125" t="n">
        <f>I125*V125</f>
        <v>0</v>
      </c>
      <c r="AP125" t="n">
        <f>J125*V125</f>
        <v>0</v>
      </c>
      <c r="AQ125" t="n">
        <f>K125*V125</f>
        <v>0</v>
      </c>
      <c r="AR125" t="n">
        <f>L125*V125</f>
        <v>0</v>
      </c>
      <c r="AS125" t="n">
        <f>M125*V125</f>
        <v>0</v>
      </c>
      <c r="AT125" t="n">
        <f>N125*V125</f>
        <v>0</v>
      </c>
      <c r="AU125" t="n">
        <f>O125*V125</f>
        <v>0</v>
      </c>
      <c r="AV125" t="n">
        <f>P125*V125</f>
        <v>0</v>
      </c>
      <c r="AW125" t="n">
        <f>Q125*V125</f>
        <v>0</v>
      </c>
      <c r="AX125" t="n">
        <f>E125*W125</f>
        <v>0</v>
      </c>
      <c r="AY125" t="n">
        <f>F125*W125</f>
        <v>0</v>
      </c>
      <c r="AZ125" t="n">
        <f>G125*W125</f>
        <v>0</v>
      </c>
      <c r="BA125" t="n">
        <f>H125*W125</f>
        <v>0</v>
      </c>
      <c r="BB125" t="n">
        <f>I125*W125</f>
        <v>0</v>
      </c>
      <c r="BC125" t="n">
        <f>J125*W125</f>
        <v>0</v>
      </c>
      <c r="BD125" t="n">
        <f>K125*W125</f>
        <v>0</v>
      </c>
      <c r="BE125" t="n">
        <f>L125*W125</f>
        <v>0</v>
      </c>
      <c r="BF125" t="n">
        <f>M125*W125</f>
        <v>0</v>
      </c>
      <c r="BG125" t="n">
        <f>N125*W125</f>
        <v>0</v>
      </c>
      <c r="BH125" t="n">
        <f>O125*W125</f>
        <v>0</v>
      </c>
      <c r="BI125" t="n">
        <f>P125*W125</f>
        <v>0</v>
      </c>
      <c r="BJ125" t="n">
        <f>Q125*W125</f>
        <v>0</v>
      </c>
    </row>
    <row r="126">
      <c r="A126" t="n">
        <f>Charges!A126</f>
        <v>0</v>
      </c>
      <c r="B126" t="n">
        <f>Charges!C126</f>
        <v>0</v>
      </c>
      <c r="C126" t="str">
        <f>Charges!D126</f>
        <v/>
      </c>
      <c r="E126" t="n">
        <f>IF(1&lt;=Paramètres!$B$9,MAX(0,IFERROR(N(IF(ISNUMBER(Charges!F126),MAX(0,Charges!F126),IFERROR(VLOOKUP(Charges!F126,Paramètres!$A$15:$B$18,2,FALSE),0))),0)),0)</f>
        <v>0</v>
      </c>
      <c r="F126" t="n">
        <f>IF(2&lt;=Paramètres!$B$9,MAX(0,IFERROR(N(IF(ISNUMBER(Charges!G126),MAX(0,Charges!G126),IFERROR(VLOOKUP(Charges!G126,Paramètres!$A$15:$B$18,2,FALSE),0))),0)),0)</f>
        <v>0</v>
      </c>
      <c r="G126" t="n">
        <f>IF(3&lt;=Paramètres!$B$9,MAX(0,IFERROR(N(IF(ISNUMBER(Charges!H126),MAX(0,Charges!H126),IFERROR(VLOOKUP(Charges!H126,Paramètres!$A$15:$B$18,2,FALSE),0))),0)),0)</f>
        <v>0</v>
      </c>
      <c r="H126" t="n">
        <f>IF(4&lt;=Paramètres!$B$9,MAX(0,IFERROR(N(IF(ISNUMBER(Charges!I126),MAX(0,Charges!I126),IFERROR(VLOOKUP(Charges!I126,Paramètres!$A$15:$B$18,2,FALSE),0))),0)),0)</f>
        <v>0</v>
      </c>
      <c r="I126" t="n">
        <f>IF(5&lt;=Paramètres!$B$9,MAX(0,IFERROR(N(IF(ISNUMBER(Charges!J126),MAX(0,Charges!J126),IFERROR(VLOOKUP(Charges!J126,Paramètres!$A$15:$B$18,2,FALSE),0))),0)),0)</f>
        <v>0</v>
      </c>
      <c r="J126" t="n">
        <f>IF(6&lt;=Paramètres!$B$9,MAX(0,IFERROR(N(IF(ISNUMBER(Charges!K126),MAX(0,Charges!K126),IFERROR(VLOOKUP(Charges!K126,Paramètres!$A$15:$B$18,2,FALSE),0))),0)),0)</f>
        <v>0</v>
      </c>
      <c r="K126" t="n">
        <f>IF(7&lt;=Paramètres!$B$9,MAX(0,IFERROR(N(IF(ISNUMBER(Charges!L126),MAX(0,Charges!L126),IFERROR(VLOOKUP(Charges!L126,Paramètres!$A$15:$B$18,2,FALSE),0))),0)),0)</f>
        <v>0</v>
      </c>
      <c r="L126" t="n">
        <f>IF(8&lt;=Paramètres!$B$9,MAX(0,IFERROR(N(IF(ISNUMBER(Charges!M126),MAX(0,Charges!M126),IFERROR(VLOOKUP(Charges!M126,Paramètres!$A$15:$B$18,2,FALSE),0))),0)),0)</f>
        <v>0</v>
      </c>
      <c r="M126" t="n">
        <f>IF(9&lt;=Paramètres!$B$9,MAX(0,IFERROR(N(IF(ISNUMBER(Charges!N126),MAX(0,Charges!N126),IFERROR(VLOOKUP(Charges!N126,Paramètres!$A$15:$B$18,2,FALSE),0))),0)),0)</f>
        <v>0</v>
      </c>
      <c r="N126" t="n">
        <f>IF(10&lt;=Paramètres!$B$9,MAX(0,IFERROR(N(IF(ISNUMBER(Charges!O126),MAX(0,Charges!O126),IFERROR(VLOOKUP(Charges!O126,Paramètres!$A$15:$B$18,2,FALSE),0))),0)),0)</f>
        <v>0</v>
      </c>
      <c r="O126" t="n">
        <f>IF(11&lt;=Paramètres!$B$9,MAX(0,IFERROR(N(IF(ISNUMBER(Charges!P126),MAX(0,Charges!P126),IFERROR(VLOOKUP(Charges!P126,Paramètres!$A$15:$B$18,2,FALSE),0))),0)),0)</f>
        <v>0</v>
      </c>
      <c r="P126" t="n">
        <f>IF(12&lt;=Paramètres!$B$9,MAX(0,IFERROR(N(IF(ISNUMBER(Charges!Q126),MAX(0,Charges!Q126),IFERROR(VLOOKUP(Charges!Q126,Paramètres!$A$15:$B$18,2,FALSE),0))),0)),0)</f>
        <v>0</v>
      </c>
      <c r="Q126" t="n">
        <f>IF(13&lt;=Paramètres!$B$9,MAX(0,IFERROR(N(IF(ISNUMBER(Charges!R126),MAX(0,Charges!R126),IFERROR(VLOOKUP(Charges!R126,Paramètres!$A$15:$B$18,2,FALSE),0))),0)),0)</f>
        <v>0</v>
      </c>
      <c r="R126" t="n">
        <f>SUM(E126:Q126)</f>
        <v>0</v>
      </c>
      <c r="S126" t="n">
        <f>IF(IFERROR(VLOOKUP(A126,'Projets'!$A$8:$Z$67,7,FALSE),"")="Engager",1,0)</f>
        <v>0</v>
      </c>
      <c r="T126" t="n">
        <f>IF(OR(Charges!F126="",AND(ISNUMBER(Charges!F126),Charges!F126&gt;=0),Charges!F126="S",Charges!F126="M",Charges!F126="L",Charges!F126="XL"),0,1)+IF(OR(Charges!G126="",AND(ISNUMBER(Charges!G126),Charges!G126&gt;=0),Charges!G126="S",Charges!G126="M",Charges!G126="L",Charges!G126="XL"),0,1)+IF(OR(Charges!H126="",AND(ISNUMBER(Charges!H126),Charges!H126&gt;=0),Charges!H126="S",Charges!H126="M",Charges!H126="L",Charges!H126="XL"),0,1)+IF(OR(Charges!I126="",AND(ISNUMBER(Charges!I126),Charges!I126&gt;=0),Charges!I126="S",Charges!I126="M",Charges!I126="L",Charges!I126="XL"),0,1)+IF(OR(Charges!J126="",AND(ISNUMBER(Charges!J126),Charges!J126&gt;=0),Charges!J126="S",Charges!J126="M",Charges!J126="L",Charges!J126="XL"),0,1)+IF(OR(Charges!K126="",AND(ISNUMBER(Charges!K126),Charges!K126&gt;=0),Charges!K126="S",Charges!K126="M",Charges!K126="L",Charges!K126="XL"),0,1)+IF(OR(Charges!L126="",AND(ISNUMBER(Charges!L126),Charges!L126&gt;=0),Charges!L126="S",Charges!L126="M",Charges!L126="L",Charges!L126="XL"),0,1)+IF(OR(Charges!M126="",AND(ISNUMBER(Charges!M126),Charges!M126&gt;=0),Charges!M126="S",Charges!M126="M",Charges!M126="L",Charges!M126="XL"),0,1)+IF(OR(Charges!N126="",AND(ISNUMBER(Charges!N126),Charges!N126&gt;=0),Charges!N126="S",Charges!N126="M",Charges!N126="L",Charges!N126="XL"),0,1)+IF(OR(Charges!O126="",AND(ISNUMBER(Charges!O126),Charges!O126&gt;=0),Charges!O126="S",Charges!O126="M",Charges!O126="L",Charges!O126="XL"),0,1)+IF(OR(Charges!P126="",AND(ISNUMBER(Charges!P126),Charges!P126&gt;=0),Charges!P126="S",Charges!P126="M",Charges!P126="L",Charges!P126="XL"),0,1)+IF(OR(Charges!Q126="",AND(ISNUMBER(Charges!Q126),Charges!Q126&gt;=0),Charges!Q126="S",Charges!Q126="M",Charges!Q126="L",Charges!Q126="XL"),0,1)+IF(OR(Charges!R126="",AND(ISNUMBER(Charges!R126),Charges!R126&gt;=0),Charges!R126="S",Charges!R126="M",Charges!R126="L",Charges!R126="XL"),0,1)</f>
        <v>0</v>
      </c>
      <c r="U126" t="n">
        <f>IF(AND(1&gt;Paramètres!$B$9,Charges!F126&lt;&gt;"",Charges!F126&lt;&gt;0),1,0)+IF(AND(2&gt;Paramètres!$B$9,Charges!G126&lt;&gt;"",Charges!G126&lt;&gt;0),1,0)+IF(AND(3&gt;Paramètres!$B$9,Charges!H126&lt;&gt;"",Charges!H126&lt;&gt;0),1,0)+IF(AND(4&gt;Paramètres!$B$9,Charges!I126&lt;&gt;"",Charges!I126&lt;&gt;0),1,0)+IF(AND(5&gt;Paramètres!$B$9,Charges!J126&lt;&gt;"",Charges!J126&lt;&gt;0),1,0)+IF(AND(6&gt;Paramètres!$B$9,Charges!K126&lt;&gt;"",Charges!K126&lt;&gt;0),1,0)+IF(AND(7&gt;Paramètres!$B$9,Charges!L126&lt;&gt;"",Charges!L126&lt;&gt;0),1,0)+IF(AND(8&gt;Paramètres!$B$9,Charges!M126&lt;&gt;"",Charges!M126&lt;&gt;0),1,0)+IF(AND(9&gt;Paramètres!$B$9,Charges!N126&lt;&gt;"",Charges!N126&lt;&gt;0),1,0)+IF(AND(10&gt;Paramètres!$B$9,Charges!O126&lt;&gt;"",Charges!O126&lt;&gt;0),1,0)+IF(AND(11&gt;Paramètres!$B$9,Charges!P126&lt;&gt;"",Charges!P126&lt;&gt;0),1,0)+IF(AND(12&gt;Paramètres!$B$9,Charges!Q126&lt;&gt;"",Charges!Q126&lt;&gt;0),1,0)+IF(AND(13&gt;Paramètres!$B$9,Charges!R126&lt;&gt;"",Charges!R126&lt;&gt;0),1,0)</f>
        <v>0</v>
      </c>
      <c r="V126" t="n">
        <f>IF(IFERROR(VLOOKUP(A126,'Projets'!$A$8:$Z$67,5,FALSE),"")="Engager",1,0)</f>
        <v>0</v>
      </c>
      <c r="W126" t="n">
        <f>IF(IFERROR(VLOOKUP(A126,'Projets'!$A$8:$Z$67,6,FALSE),"")="Engager",1,0)</f>
        <v>0</v>
      </c>
      <c r="X126" t="n">
        <f>E126*S126</f>
        <v>0</v>
      </c>
      <c r="Y126" t="n">
        <f>F126*S126</f>
        <v>0</v>
      </c>
      <c r="Z126" t="n">
        <f>G126*S126</f>
        <v>0</v>
      </c>
      <c r="AA126" t="n">
        <f>H126*S126</f>
        <v>0</v>
      </c>
      <c r="AB126" t="n">
        <f>I126*S126</f>
        <v>0</v>
      </c>
      <c r="AC126" t="n">
        <f>J126*S126</f>
        <v>0</v>
      </c>
      <c r="AD126" t="n">
        <f>K126*S126</f>
        <v>0</v>
      </c>
      <c r="AE126" t="n">
        <f>L126*S126</f>
        <v>0</v>
      </c>
      <c r="AF126" t="n">
        <f>M126*S126</f>
        <v>0</v>
      </c>
      <c r="AG126" t="n">
        <f>N126*S126</f>
        <v>0</v>
      </c>
      <c r="AH126" t="n">
        <f>O126*S126</f>
        <v>0</v>
      </c>
      <c r="AI126" t="n">
        <f>P126*S126</f>
        <v>0</v>
      </c>
      <c r="AJ126" t="n">
        <f>Q126*S126</f>
        <v>0</v>
      </c>
      <c r="AK126" t="n">
        <f>E126*V126</f>
        <v>0</v>
      </c>
      <c r="AL126" t="n">
        <f>F126*V126</f>
        <v>0</v>
      </c>
      <c r="AM126" t="n">
        <f>G126*V126</f>
        <v>0</v>
      </c>
      <c r="AN126" t="n">
        <f>H126*V126</f>
        <v>0</v>
      </c>
      <c r="AO126" t="n">
        <f>I126*V126</f>
        <v>0</v>
      </c>
      <c r="AP126" t="n">
        <f>J126*V126</f>
        <v>0</v>
      </c>
      <c r="AQ126" t="n">
        <f>K126*V126</f>
        <v>0</v>
      </c>
      <c r="AR126" t="n">
        <f>L126*V126</f>
        <v>0</v>
      </c>
      <c r="AS126" t="n">
        <f>M126*V126</f>
        <v>0</v>
      </c>
      <c r="AT126" t="n">
        <f>N126*V126</f>
        <v>0</v>
      </c>
      <c r="AU126" t="n">
        <f>O126*V126</f>
        <v>0</v>
      </c>
      <c r="AV126" t="n">
        <f>P126*V126</f>
        <v>0</v>
      </c>
      <c r="AW126" t="n">
        <f>Q126*V126</f>
        <v>0</v>
      </c>
      <c r="AX126" t="n">
        <f>E126*W126</f>
        <v>0</v>
      </c>
      <c r="AY126" t="n">
        <f>F126*W126</f>
        <v>0</v>
      </c>
      <c r="AZ126" t="n">
        <f>G126*W126</f>
        <v>0</v>
      </c>
      <c r="BA126" t="n">
        <f>H126*W126</f>
        <v>0</v>
      </c>
      <c r="BB126" t="n">
        <f>I126*W126</f>
        <v>0</v>
      </c>
      <c r="BC126" t="n">
        <f>J126*W126</f>
        <v>0</v>
      </c>
      <c r="BD126" t="n">
        <f>K126*W126</f>
        <v>0</v>
      </c>
      <c r="BE126" t="n">
        <f>L126*W126</f>
        <v>0</v>
      </c>
      <c r="BF126" t="n">
        <f>M126*W126</f>
        <v>0</v>
      </c>
      <c r="BG126" t="n">
        <f>N126*W126</f>
        <v>0</v>
      </c>
      <c r="BH126" t="n">
        <f>O126*W126</f>
        <v>0</v>
      </c>
      <c r="BI126" t="n">
        <f>P126*W126</f>
        <v>0</v>
      </c>
      <c r="BJ126" t="n">
        <f>Q126*W126</f>
        <v>0</v>
      </c>
    </row>
    <row r="127">
      <c r="A127" t="n">
        <f>Charges!A127</f>
        <v>0</v>
      </c>
      <c r="B127" t="n">
        <f>Charges!C127</f>
        <v>0</v>
      </c>
      <c r="C127" t="str">
        <f>Charges!D127</f>
        <v/>
      </c>
      <c r="E127" t="n">
        <f>IF(1&lt;=Paramètres!$B$9,MAX(0,IFERROR(N(IF(ISNUMBER(Charges!F127),MAX(0,Charges!F127),IFERROR(VLOOKUP(Charges!F127,Paramètres!$A$15:$B$18,2,FALSE),0))),0)),0)</f>
        <v>0</v>
      </c>
      <c r="F127" t="n">
        <f>IF(2&lt;=Paramètres!$B$9,MAX(0,IFERROR(N(IF(ISNUMBER(Charges!G127),MAX(0,Charges!G127),IFERROR(VLOOKUP(Charges!G127,Paramètres!$A$15:$B$18,2,FALSE),0))),0)),0)</f>
        <v>0</v>
      </c>
      <c r="G127" t="n">
        <f>IF(3&lt;=Paramètres!$B$9,MAX(0,IFERROR(N(IF(ISNUMBER(Charges!H127),MAX(0,Charges!H127),IFERROR(VLOOKUP(Charges!H127,Paramètres!$A$15:$B$18,2,FALSE),0))),0)),0)</f>
        <v>0</v>
      </c>
      <c r="H127" t="n">
        <f>IF(4&lt;=Paramètres!$B$9,MAX(0,IFERROR(N(IF(ISNUMBER(Charges!I127),MAX(0,Charges!I127),IFERROR(VLOOKUP(Charges!I127,Paramètres!$A$15:$B$18,2,FALSE),0))),0)),0)</f>
        <v>0</v>
      </c>
      <c r="I127" t="n">
        <f>IF(5&lt;=Paramètres!$B$9,MAX(0,IFERROR(N(IF(ISNUMBER(Charges!J127),MAX(0,Charges!J127),IFERROR(VLOOKUP(Charges!J127,Paramètres!$A$15:$B$18,2,FALSE),0))),0)),0)</f>
        <v>0</v>
      </c>
      <c r="J127" t="n">
        <f>IF(6&lt;=Paramètres!$B$9,MAX(0,IFERROR(N(IF(ISNUMBER(Charges!K127),MAX(0,Charges!K127),IFERROR(VLOOKUP(Charges!K127,Paramètres!$A$15:$B$18,2,FALSE),0))),0)),0)</f>
        <v>0</v>
      </c>
      <c r="K127" t="n">
        <f>IF(7&lt;=Paramètres!$B$9,MAX(0,IFERROR(N(IF(ISNUMBER(Charges!L127),MAX(0,Charges!L127),IFERROR(VLOOKUP(Charges!L127,Paramètres!$A$15:$B$18,2,FALSE),0))),0)),0)</f>
        <v>0</v>
      </c>
      <c r="L127" t="n">
        <f>IF(8&lt;=Paramètres!$B$9,MAX(0,IFERROR(N(IF(ISNUMBER(Charges!M127),MAX(0,Charges!M127),IFERROR(VLOOKUP(Charges!M127,Paramètres!$A$15:$B$18,2,FALSE),0))),0)),0)</f>
        <v>0</v>
      </c>
      <c r="M127" t="n">
        <f>IF(9&lt;=Paramètres!$B$9,MAX(0,IFERROR(N(IF(ISNUMBER(Charges!N127),MAX(0,Charges!N127),IFERROR(VLOOKUP(Charges!N127,Paramètres!$A$15:$B$18,2,FALSE),0))),0)),0)</f>
        <v>0</v>
      </c>
      <c r="N127" t="n">
        <f>IF(10&lt;=Paramètres!$B$9,MAX(0,IFERROR(N(IF(ISNUMBER(Charges!O127),MAX(0,Charges!O127),IFERROR(VLOOKUP(Charges!O127,Paramètres!$A$15:$B$18,2,FALSE),0))),0)),0)</f>
        <v>0</v>
      </c>
      <c r="O127" t="n">
        <f>IF(11&lt;=Paramètres!$B$9,MAX(0,IFERROR(N(IF(ISNUMBER(Charges!P127),MAX(0,Charges!P127),IFERROR(VLOOKUP(Charges!P127,Paramètres!$A$15:$B$18,2,FALSE),0))),0)),0)</f>
        <v>0</v>
      </c>
      <c r="P127" t="n">
        <f>IF(12&lt;=Paramètres!$B$9,MAX(0,IFERROR(N(IF(ISNUMBER(Charges!Q127),MAX(0,Charges!Q127),IFERROR(VLOOKUP(Charges!Q127,Paramètres!$A$15:$B$18,2,FALSE),0))),0)),0)</f>
        <v>0</v>
      </c>
      <c r="Q127" t="n">
        <f>IF(13&lt;=Paramètres!$B$9,MAX(0,IFERROR(N(IF(ISNUMBER(Charges!R127),MAX(0,Charges!R127),IFERROR(VLOOKUP(Charges!R127,Paramètres!$A$15:$B$18,2,FALSE),0))),0)),0)</f>
        <v>0</v>
      </c>
      <c r="R127" t="n">
        <f>SUM(E127:Q127)</f>
        <v>0</v>
      </c>
      <c r="S127" t="n">
        <f>IF(IFERROR(VLOOKUP(A127,'Projets'!$A$8:$Z$67,7,FALSE),"")="Engager",1,0)</f>
        <v>0</v>
      </c>
      <c r="T127" t="n">
        <f>IF(OR(Charges!F127="",AND(ISNUMBER(Charges!F127),Charges!F127&gt;=0),Charges!F127="S",Charges!F127="M",Charges!F127="L",Charges!F127="XL"),0,1)+IF(OR(Charges!G127="",AND(ISNUMBER(Charges!G127),Charges!G127&gt;=0),Charges!G127="S",Charges!G127="M",Charges!G127="L",Charges!G127="XL"),0,1)+IF(OR(Charges!H127="",AND(ISNUMBER(Charges!H127),Charges!H127&gt;=0),Charges!H127="S",Charges!H127="M",Charges!H127="L",Charges!H127="XL"),0,1)+IF(OR(Charges!I127="",AND(ISNUMBER(Charges!I127),Charges!I127&gt;=0),Charges!I127="S",Charges!I127="M",Charges!I127="L",Charges!I127="XL"),0,1)+IF(OR(Charges!J127="",AND(ISNUMBER(Charges!J127),Charges!J127&gt;=0),Charges!J127="S",Charges!J127="M",Charges!J127="L",Charges!J127="XL"),0,1)+IF(OR(Charges!K127="",AND(ISNUMBER(Charges!K127),Charges!K127&gt;=0),Charges!K127="S",Charges!K127="M",Charges!K127="L",Charges!K127="XL"),0,1)+IF(OR(Charges!L127="",AND(ISNUMBER(Charges!L127),Charges!L127&gt;=0),Charges!L127="S",Charges!L127="M",Charges!L127="L",Charges!L127="XL"),0,1)+IF(OR(Charges!M127="",AND(ISNUMBER(Charges!M127),Charges!M127&gt;=0),Charges!M127="S",Charges!M127="M",Charges!M127="L",Charges!M127="XL"),0,1)+IF(OR(Charges!N127="",AND(ISNUMBER(Charges!N127),Charges!N127&gt;=0),Charges!N127="S",Charges!N127="M",Charges!N127="L",Charges!N127="XL"),0,1)+IF(OR(Charges!O127="",AND(ISNUMBER(Charges!O127),Charges!O127&gt;=0),Charges!O127="S",Charges!O127="M",Charges!O127="L",Charges!O127="XL"),0,1)+IF(OR(Charges!P127="",AND(ISNUMBER(Charges!P127),Charges!P127&gt;=0),Charges!P127="S",Charges!P127="M",Charges!P127="L",Charges!P127="XL"),0,1)+IF(OR(Charges!Q127="",AND(ISNUMBER(Charges!Q127),Charges!Q127&gt;=0),Charges!Q127="S",Charges!Q127="M",Charges!Q127="L",Charges!Q127="XL"),0,1)+IF(OR(Charges!R127="",AND(ISNUMBER(Charges!R127),Charges!R127&gt;=0),Charges!R127="S",Charges!R127="M",Charges!R127="L",Charges!R127="XL"),0,1)</f>
        <v>0</v>
      </c>
      <c r="U127" t="n">
        <f>IF(AND(1&gt;Paramètres!$B$9,Charges!F127&lt;&gt;"",Charges!F127&lt;&gt;0),1,0)+IF(AND(2&gt;Paramètres!$B$9,Charges!G127&lt;&gt;"",Charges!G127&lt;&gt;0),1,0)+IF(AND(3&gt;Paramètres!$B$9,Charges!H127&lt;&gt;"",Charges!H127&lt;&gt;0),1,0)+IF(AND(4&gt;Paramètres!$B$9,Charges!I127&lt;&gt;"",Charges!I127&lt;&gt;0),1,0)+IF(AND(5&gt;Paramètres!$B$9,Charges!J127&lt;&gt;"",Charges!J127&lt;&gt;0),1,0)+IF(AND(6&gt;Paramètres!$B$9,Charges!K127&lt;&gt;"",Charges!K127&lt;&gt;0),1,0)+IF(AND(7&gt;Paramètres!$B$9,Charges!L127&lt;&gt;"",Charges!L127&lt;&gt;0),1,0)+IF(AND(8&gt;Paramètres!$B$9,Charges!M127&lt;&gt;"",Charges!M127&lt;&gt;0),1,0)+IF(AND(9&gt;Paramètres!$B$9,Charges!N127&lt;&gt;"",Charges!N127&lt;&gt;0),1,0)+IF(AND(10&gt;Paramètres!$B$9,Charges!O127&lt;&gt;"",Charges!O127&lt;&gt;0),1,0)+IF(AND(11&gt;Paramètres!$B$9,Charges!P127&lt;&gt;"",Charges!P127&lt;&gt;0),1,0)+IF(AND(12&gt;Paramètres!$B$9,Charges!Q127&lt;&gt;"",Charges!Q127&lt;&gt;0),1,0)+IF(AND(13&gt;Paramètres!$B$9,Charges!R127&lt;&gt;"",Charges!R127&lt;&gt;0),1,0)</f>
        <v>0</v>
      </c>
      <c r="V127" t="n">
        <f>IF(IFERROR(VLOOKUP(A127,'Projets'!$A$8:$Z$67,5,FALSE),"")="Engager",1,0)</f>
        <v>0</v>
      </c>
      <c r="W127" t="n">
        <f>IF(IFERROR(VLOOKUP(A127,'Projets'!$A$8:$Z$67,6,FALSE),"")="Engager",1,0)</f>
        <v>0</v>
      </c>
      <c r="X127" t="n">
        <f>E127*S127</f>
        <v>0</v>
      </c>
      <c r="Y127" t="n">
        <f>F127*S127</f>
        <v>0</v>
      </c>
      <c r="Z127" t="n">
        <f>G127*S127</f>
        <v>0</v>
      </c>
      <c r="AA127" t="n">
        <f>H127*S127</f>
        <v>0</v>
      </c>
      <c r="AB127" t="n">
        <f>I127*S127</f>
        <v>0</v>
      </c>
      <c r="AC127" t="n">
        <f>J127*S127</f>
        <v>0</v>
      </c>
      <c r="AD127" t="n">
        <f>K127*S127</f>
        <v>0</v>
      </c>
      <c r="AE127" t="n">
        <f>L127*S127</f>
        <v>0</v>
      </c>
      <c r="AF127" t="n">
        <f>M127*S127</f>
        <v>0</v>
      </c>
      <c r="AG127" t="n">
        <f>N127*S127</f>
        <v>0</v>
      </c>
      <c r="AH127" t="n">
        <f>O127*S127</f>
        <v>0</v>
      </c>
      <c r="AI127" t="n">
        <f>P127*S127</f>
        <v>0</v>
      </c>
      <c r="AJ127" t="n">
        <f>Q127*S127</f>
        <v>0</v>
      </c>
      <c r="AK127" t="n">
        <f>E127*V127</f>
        <v>0</v>
      </c>
      <c r="AL127" t="n">
        <f>F127*V127</f>
        <v>0</v>
      </c>
      <c r="AM127" t="n">
        <f>G127*V127</f>
        <v>0</v>
      </c>
      <c r="AN127" t="n">
        <f>H127*V127</f>
        <v>0</v>
      </c>
      <c r="AO127" t="n">
        <f>I127*V127</f>
        <v>0</v>
      </c>
      <c r="AP127" t="n">
        <f>J127*V127</f>
        <v>0</v>
      </c>
      <c r="AQ127" t="n">
        <f>K127*V127</f>
        <v>0</v>
      </c>
      <c r="AR127" t="n">
        <f>L127*V127</f>
        <v>0</v>
      </c>
      <c r="AS127" t="n">
        <f>M127*V127</f>
        <v>0</v>
      </c>
      <c r="AT127" t="n">
        <f>N127*V127</f>
        <v>0</v>
      </c>
      <c r="AU127" t="n">
        <f>O127*V127</f>
        <v>0</v>
      </c>
      <c r="AV127" t="n">
        <f>P127*V127</f>
        <v>0</v>
      </c>
      <c r="AW127" t="n">
        <f>Q127*V127</f>
        <v>0</v>
      </c>
      <c r="AX127" t="n">
        <f>E127*W127</f>
        <v>0</v>
      </c>
      <c r="AY127" t="n">
        <f>F127*W127</f>
        <v>0</v>
      </c>
      <c r="AZ127" t="n">
        <f>G127*W127</f>
        <v>0</v>
      </c>
      <c r="BA127" t="n">
        <f>H127*W127</f>
        <v>0</v>
      </c>
      <c r="BB127" t="n">
        <f>I127*W127</f>
        <v>0</v>
      </c>
      <c r="BC127" t="n">
        <f>J127*W127</f>
        <v>0</v>
      </c>
      <c r="BD127" t="n">
        <f>K127*W127</f>
        <v>0</v>
      </c>
      <c r="BE127" t="n">
        <f>L127*W127</f>
        <v>0</v>
      </c>
      <c r="BF127" t="n">
        <f>M127*W127</f>
        <v>0</v>
      </c>
      <c r="BG127" t="n">
        <f>N127*W127</f>
        <v>0</v>
      </c>
      <c r="BH127" t="n">
        <f>O127*W127</f>
        <v>0</v>
      </c>
      <c r="BI127" t="n">
        <f>P127*W127</f>
        <v>0</v>
      </c>
      <c r="BJ127" t="n">
        <f>Q127*W127</f>
        <v>0</v>
      </c>
    </row>
    <row r="128">
      <c r="A128" t="n">
        <f>Charges!A128</f>
        <v>0</v>
      </c>
      <c r="B128" t="n">
        <f>Charges!C128</f>
        <v>0</v>
      </c>
      <c r="C128" t="str">
        <f>Charges!D128</f>
        <v/>
      </c>
      <c r="E128" t="n">
        <f>IF(1&lt;=Paramètres!$B$9,MAX(0,IFERROR(N(IF(ISNUMBER(Charges!F128),MAX(0,Charges!F128),IFERROR(VLOOKUP(Charges!F128,Paramètres!$A$15:$B$18,2,FALSE),0))),0)),0)</f>
        <v>0</v>
      </c>
      <c r="F128" t="n">
        <f>IF(2&lt;=Paramètres!$B$9,MAX(0,IFERROR(N(IF(ISNUMBER(Charges!G128),MAX(0,Charges!G128),IFERROR(VLOOKUP(Charges!G128,Paramètres!$A$15:$B$18,2,FALSE),0))),0)),0)</f>
        <v>0</v>
      </c>
      <c r="G128" t="n">
        <f>IF(3&lt;=Paramètres!$B$9,MAX(0,IFERROR(N(IF(ISNUMBER(Charges!H128),MAX(0,Charges!H128),IFERROR(VLOOKUP(Charges!H128,Paramètres!$A$15:$B$18,2,FALSE),0))),0)),0)</f>
        <v>0</v>
      </c>
      <c r="H128" t="n">
        <f>IF(4&lt;=Paramètres!$B$9,MAX(0,IFERROR(N(IF(ISNUMBER(Charges!I128),MAX(0,Charges!I128),IFERROR(VLOOKUP(Charges!I128,Paramètres!$A$15:$B$18,2,FALSE),0))),0)),0)</f>
        <v>0</v>
      </c>
      <c r="I128" t="n">
        <f>IF(5&lt;=Paramètres!$B$9,MAX(0,IFERROR(N(IF(ISNUMBER(Charges!J128),MAX(0,Charges!J128),IFERROR(VLOOKUP(Charges!J128,Paramètres!$A$15:$B$18,2,FALSE),0))),0)),0)</f>
        <v>0</v>
      </c>
      <c r="J128" t="n">
        <f>IF(6&lt;=Paramètres!$B$9,MAX(0,IFERROR(N(IF(ISNUMBER(Charges!K128),MAX(0,Charges!K128),IFERROR(VLOOKUP(Charges!K128,Paramètres!$A$15:$B$18,2,FALSE),0))),0)),0)</f>
        <v>0</v>
      </c>
      <c r="K128" t="n">
        <f>IF(7&lt;=Paramètres!$B$9,MAX(0,IFERROR(N(IF(ISNUMBER(Charges!L128),MAX(0,Charges!L128),IFERROR(VLOOKUP(Charges!L128,Paramètres!$A$15:$B$18,2,FALSE),0))),0)),0)</f>
        <v>0</v>
      </c>
      <c r="L128" t="n">
        <f>IF(8&lt;=Paramètres!$B$9,MAX(0,IFERROR(N(IF(ISNUMBER(Charges!M128),MAX(0,Charges!M128),IFERROR(VLOOKUP(Charges!M128,Paramètres!$A$15:$B$18,2,FALSE),0))),0)),0)</f>
        <v>0</v>
      </c>
      <c r="M128" t="n">
        <f>IF(9&lt;=Paramètres!$B$9,MAX(0,IFERROR(N(IF(ISNUMBER(Charges!N128),MAX(0,Charges!N128),IFERROR(VLOOKUP(Charges!N128,Paramètres!$A$15:$B$18,2,FALSE),0))),0)),0)</f>
        <v>0</v>
      </c>
      <c r="N128" t="n">
        <f>IF(10&lt;=Paramètres!$B$9,MAX(0,IFERROR(N(IF(ISNUMBER(Charges!O128),MAX(0,Charges!O128),IFERROR(VLOOKUP(Charges!O128,Paramètres!$A$15:$B$18,2,FALSE),0))),0)),0)</f>
        <v>0</v>
      </c>
      <c r="O128" t="n">
        <f>IF(11&lt;=Paramètres!$B$9,MAX(0,IFERROR(N(IF(ISNUMBER(Charges!P128),MAX(0,Charges!P128),IFERROR(VLOOKUP(Charges!P128,Paramètres!$A$15:$B$18,2,FALSE),0))),0)),0)</f>
        <v>0</v>
      </c>
      <c r="P128" t="n">
        <f>IF(12&lt;=Paramètres!$B$9,MAX(0,IFERROR(N(IF(ISNUMBER(Charges!Q128),MAX(0,Charges!Q128),IFERROR(VLOOKUP(Charges!Q128,Paramètres!$A$15:$B$18,2,FALSE),0))),0)),0)</f>
        <v>0</v>
      </c>
      <c r="Q128" t="n">
        <f>IF(13&lt;=Paramètres!$B$9,MAX(0,IFERROR(N(IF(ISNUMBER(Charges!R128),MAX(0,Charges!R128),IFERROR(VLOOKUP(Charges!R128,Paramètres!$A$15:$B$18,2,FALSE),0))),0)),0)</f>
        <v>0</v>
      </c>
      <c r="R128" t="n">
        <f>SUM(E128:Q128)</f>
        <v>0</v>
      </c>
      <c r="S128" t="n">
        <f>IF(IFERROR(VLOOKUP(A128,'Projets'!$A$8:$Z$67,7,FALSE),"")="Engager",1,0)</f>
        <v>0</v>
      </c>
      <c r="T128" t="n">
        <f>IF(OR(Charges!F128="",AND(ISNUMBER(Charges!F128),Charges!F128&gt;=0),Charges!F128="S",Charges!F128="M",Charges!F128="L",Charges!F128="XL"),0,1)+IF(OR(Charges!G128="",AND(ISNUMBER(Charges!G128),Charges!G128&gt;=0),Charges!G128="S",Charges!G128="M",Charges!G128="L",Charges!G128="XL"),0,1)+IF(OR(Charges!H128="",AND(ISNUMBER(Charges!H128),Charges!H128&gt;=0),Charges!H128="S",Charges!H128="M",Charges!H128="L",Charges!H128="XL"),0,1)+IF(OR(Charges!I128="",AND(ISNUMBER(Charges!I128),Charges!I128&gt;=0),Charges!I128="S",Charges!I128="M",Charges!I128="L",Charges!I128="XL"),0,1)+IF(OR(Charges!J128="",AND(ISNUMBER(Charges!J128),Charges!J128&gt;=0),Charges!J128="S",Charges!J128="M",Charges!J128="L",Charges!J128="XL"),0,1)+IF(OR(Charges!K128="",AND(ISNUMBER(Charges!K128),Charges!K128&gt;=0),Charges!K128="S",Charges!K128="M",Charges!K128="L",Charges!K128="XL"),0,1)+IF(OR(Charges!L128="",AND(ISNUMBER(Charges!L128),Charges!L128&gt;=0),Charges!L128="S",Charges!L128="M",Charges!L128="L",Charges!L128="XL"),0,1)+IF(OR(Charges!M128="",AND(ISNUMBER(Charges!M128),Charges!M128&gt;=0),Charges!M128="S",Charges!M128="M",Charges!M128="L",Charges!M128="XL"),0,1)+IF(OR(Charges!N128="",AND(ISNUMBER(Charges!N128),Charges!N128&gt;=0),Charges!N128="S",Charges!N128="M",Charges!N128="L",Charges!N128="XL"),0,1)+IF(OR(Charges!O128="",AND(ISNUMBER(Charges!O128),Charges!O128&gt;=0),Charges!O128="S",Charges!O128="M",Charges!O128="L",Charges!O128="XL"),0,1)+IF(OR(Charges!P128="",AND(ISNUMBER(Charges!P128),Charges!P128&gt;=0),Charges!P128="S",Charges!P128="M",Charges!P128="L",Charges!P128="XL"),0,1)+IF(OR(Charges!Q128="",AND(ISNUMBER(Charges!Q128),Charges!Q128&gt;=0),Charges!Q128="S",Charges!Q128="M",Charges!Q128="L",Charges!Q128="XL"),0,1)+IF(OR(Charges!R128="",AND(ISNUMBER(Charges!R128),Charges!R128&gt;=0),Charges!R128="S",Charges!R128="M",Charges!R128="L",Charges!R128="XL"),0,1)</f>
        <v>0</v>
      </c>
      <c r="U128" t="n">
        <f>IF(AND(1&gt;Paramètres!$B$9,Charges!F128&lt;&gt;"",Charges!F128&lt;&gt;0),1,0)+IF(AND(2&gt;Paramètres!$B$9,Charges!G128&lt;&gt;"",Charges!G128&lt;&gt;0),1,0)+IF(AND(3&gt;Paramètres!$B$9,Charges!H128&lt;&gt;"",Charges!H128&lt;&gt;0),1,0)+IF(AND(4&gt;Paramètres!$B$9,Charges!I128&lt;&gt;"",Charges!I128&lt;&gt;0),1,0)+IF(AND(5&gt;Paramètres!$B$9,Charges!J128&lt;&gt;"",Charges!J128&lt;&gt;0),1,0)+IF(AND(6&gt;Paramètres!$B$9,Charges!K128&lt;&gt;"",Charges!K128&lt;&gt;0),1,0)+IF(AND(7&gt;Paramètres!$B$9,Charges!L128&lt;&gt;"",Charges!L128&lt;&gt;0),1,0)+IF(AND(8&gt;Paramètres!$B$9,Charges!M128&lt;&gt;"",Charges!M128&lt;&gt;0),1,0)+IF(AND(9&gt;Paramètres!$B$9,Charges!N128&lt;&gt;"",Charges!N128&lt;&gt;0),1,0)+IF(AND(10&gt;Paramètres!$B$9,Charges!O128&lt;&gt;"",Charges!O128&lt;&gt;0),1,0)+IF(AND(11&gt;Paramètres!$B$9,Charges!P128&lt;&gt;"",Charges!P128&lt;&gt;0),1,0)+IF(AND(12&gt;Paramètres!$B$9,Charges!Q128&lt;&gt;"",Charges!Q128&lt;&gt;0),1,0)+IF(AND(13&gt;Paramètres!$B$9,Charges!R128&lt;&gt;"",Charges!R128&lt;&gt;0),1,0)</f>
        <v>0</v>
      </c>
      <c r="V128" t="n">
        <f>IF(IFERROR(VLOOKUP(A128,'Projets'!$A$8:$Z$67,5,FALSE),"")="Engager",1,0)</f>
        <v>0</v>
      </c>
      <c r="W128" t="n">
        <f>IF(IFERROR(VLOOKUP(A128,'Projets'!$A$8:$Z$67,6,FALSE),"")="Engager",1,0)</f>
        <v>0</v>
      </c>
      <c r="X128" t="n">
        <f>E128*S128</f>
        <v>0</v>
      </c>
      <c r="Y128" t="n">
        <f>F128*S128</f>
        <v>0</v>
      </c>
      <c r="Z128" t="n">
        <f>G128*S128</f>
        <v>0</v>
      </c>
      <c r="AA128" t="n">
        <f>H128*S128</f>
        <v>0</v>
      </c>
      <c r="AB128" t="n">
        <f>I128*S128</f>
        <v>0</v>
      </c>
      <c r="AC128" t="n">
        <f>J128*S128</f>
        <v>0</v>
      </c>
      <c r="AD128" t="n">
        <f>K128*S128</f>
        <v>0</v>
      </c>
      <c r="AE128" t="n">
        <f>L128*S128</f>
        <v>0</v>
      </c>
      <c r="AF128" t="n">
        <f>M128*S128</f>
        <v>0</v>
      </c>
      <c r="AG128" t="n">
        <f>N128*S128</f>
        <v>0</v>
      </c>
      <c r="AH128" t="n">
        <f>O128*S128</f>
        <v>0</v>
      </c>
      <c r="AI128" t="n">
        <f>P128*S128</f>
        <v>0</v>
      </c>
      <c r="AJ128" t="n">
        <f>Q128*S128</f>
        <v>0</v>
      </c>
      <c r="AK128" t="n">
        <f>E128*V128</f>
        <v>0</v>
      </c>
      <c r="AL128" t="n">
        <f>F128*V128</f>
        <v>0</v>
      </c>
      <c r="AM128" t="n">
        <f>G128*V128</f>
        <v>0</v>
      </c>
      <c r="AN128" t="n">
        <f>H128*V128</f>
        <v>0</v>
      </c>
      <c r="AO128" t="n">
        <f>I128*V128</f>
        <v>0</v>
      </c>
      <c r="AP128" t="n">
        <f>J128*V128</f>
        <v>0</v>
      </c>
      <c r="AQ128" t="n">
        <f>K128*V128</f>
        <v>0</v>
      </c>
      <c r="AR128" t="n">
        <f>L128*V128</f>
        <v>0</v>
      </c>
      <c r="AS128" t="n">
        <f>M128*V128</f>
        <v>0</v>
      </c>
      <c r="AT128" t="n">
        <f>N128*V128</f>
        <v>0</v>
      </c>
      <c r="AU128" t="n">
        <f>O128*V128</f>
        <v>0</v>
      </c>
      <c r="AV128" t="n">
        <f>P128*V128</f>
        <v>0</v>
      </c>
      <c r="AW128" t="n">
        <f>Q128*V128</f>
        <v>0</v>
      </c>
      <c r="AX128" t="n">
        <f>E128*W128</f>
        <v>0</v>
      </c>
      <c r="AY128" t="n">
        <f>F128*W128</f>
        <v>0</v>
      </c>
      <c r="AZ128" t="n">
        <f>G128*W128</f>
        <v>0</v>
      </c>
      <c r="BA128" t="n">
        <f>H128*W128</f>
        <v>0</v>
      </c>
      <c r="BB128" t="n">
        <f>I128*W128</f>
        <v>0</v>
      </c>
      <c r="BC128" t="n">
        <f>J128*W128</f>
        <v>0</v>
      </c>
      <c r="BD128" t="n">
        <f>K128*W128</f>
        <v>0</v>
      </c>
      <c r="BE128" t="n">
        <f>L128*W128</f>
        <v>0</v>
      </c>
      <c r="BF128" t="n">
        <f>M128*W128</f>
        <v>0</v>
      </c>
      <c r="BG128" t="n">
        <f>N128*W128</f>
        <v>0</v>
      </c>
      <c r="BH128" t="n">
        <f>O128*W128</f>
        <v>0</v>
      </c>
      <c r="BI128" t="n">
        <f>P128*W128</f>
        <v>0</v>
      </c>
      <c r="BJ128" t="n">
        <f>Q128*W128</f>
        <v>0</v>
      </c>
    </row>
    <row r="129">
      <c r="A129" t="n">
        <f>Charges!A129</f>
        <v>0</v>
      </c>
      <c r="B129" t="n">
        <f>Charges!C129</f>
        <v>0</v>
      </c>
      <c r="C129" t="str">
        <f>Charges!D129</f>
        <v/>
      </c>
      <c r="E129" t="n">
        <f>IF(1&lt;=Paramètres!$B$9,MAX(0,IFERROR(N(IF(ISNUMBER(Charges!F129),MAX(0,Charges!F129),IFERROR(VLOOKUP(Charges!F129,Paramètres!$A$15:$B$18,2,FALSE),0))),0)),0)</f>
        <v>0</v>
      </c>
      <c r="F129" t="n">
        <f>IF(2&lt;=Paramètres!$B$9,MAX(0,IFERROR(N(IF(ISNUMBER(Charges!G129),MAX(0,Charges!G129),IFERROR(VLOOKUP(Charges!G129,Paramètres!$A$15:$B$18,2,FALSE),0))),0)),0)</f>
        <v>0</v>
      </c>
      <c r="G129" t="n">
        <f>IF(3&lt;=Paramètres!$B$9,MAX(0,IFERROR(N(IF(ISNUMBER(Charges!H129),MAX(0,Charges!H129),IFERROR(VLOOKUP(Charges!H129,Paramètres!$A$15:$B$18,2,FALSE),0))),0)),0)</f>
        <v>0</v>
      </c>
      <c r="H129" t="n">
        <f>IF(4&lt;=Paramètres!$B$9,MAX(0,IFERROR(N(IF(ISNUMBER(Charges!I129),MAX(0,Charges!I129),IFERROR(VLOOKUP(Charges!I129,Paramètres!$A$15:$B$18,2,FALSE),0))),0)),0)</f>
        <v>0</v>
      </c>
      <c r="I129" t="n">
        <f>IF(5&lt;=Paramètres!$B$9,MAX(0,IFERROR(N(IF(ISNUMBER(Charges!J129),MAX(0,Charges!J129),IFERROR(VLOOKUP(Charges!J129,Paramètres!$A$15:$B$18,2,FALSE),0))),0)),0)</f>
        <v>0</v>
      </c>
      <c r="J129" t="n">
        <f>IF(6&lt;=Paramètres!$B$9,MAX(0,IFERROR(N(IF(ISNUMBER(Charges!K129),MAX(0,Charges!K129),IFERROR(VLOOKUP(Charges!K129,Paramètres!$A$15:$B$18,2,FALSE),0))),0)),0)</f>
        <v>0</v>
      </c>
      <c r="K129" t="n">
        <f>IF(7&lt;=Paramètres!$B$9,MAX(0,IFERROR(N(IF(ISNUMBER(Charges!L129),MAX(0,Charges!L129),IFERROR(VLOOKUP(Charges!L129,Paramètres!$A$15:$B$18,2,FALSE),0))),0)),0)</f>
        <v>0</v>
      </c>
      <c r="L129" t="n">
        <f>IF(8&lt;=Paramètres!$B$9,MAX(0,IFERROR(N(IF(ISNUMBER(Charges!M129),MAX(0,Charges!M129),IFERROR(VLOOKUP(Charges!M129,Paramètres!$A$15:$B$18,2,FALSE),0))),0)),0)</f>
        <v>0</v>
      </c>
      <c r="M129" t="n">
        <f>IF(9&lt;=Paramètres!$B$9,MAX(0,IFERROR(N(IF(ISNUMBER(Charges!N129),MAX(0,Charges!N129),IFERROR(VLOOKUP(Charges!N129,Paramètres!$A$15:$B$18,2,FALSE),0))),0)),0)</f>
        <v>0</v>
      </c>
      <c r="N129" t="n">
        <f>IF(10&lt;=Paramètres!$B$9,MAX(0,IFERROR(N(IF(ISNUMBER(Charges!O129),MAX(0,Charges!O129),IFERROR(VLOOKUP(Charges!O129,Paramètres!$A$15:$B$18,2,FALSE),0))),0)),0)</f>
        <v>0</v>
      </c>
      <c r="O129" t="n">
        <f>IF(11&lt;=Paramètres!$B$9,MAX(0,IFERROR(N(IF(ISNUMBER(Charges!P129),MAX(0,Charges!P129),IFERROR(VLOOKUP(Charges!P129,Paramètres!$A$15:$B$18,2,FALSE),0))),0)),0)</f>
        <v>0</v>
      </c>
      <c r="P129" t="n">
        <f>IF(12&lt;=Paramètres!$B$9,MAX(0,IFERROR(N(IF(ISNUMBER(Charges!Q129),MAX(0,Charges!Q129),IFERROR(VLOOKUP(Charges!Q129,Paramètres!$A$15:$B$18,2,FALSE),0))),0)),0)</f>
        <v>0</v>
      </c>
      <c r="Q129" t="n">
        <f>IF(13&lt;=Paramètres!$B$9,MAX(0,IFERROR(N(IF(ISNUMBER(Charges!R129),MAX(0,Charges!R129),IFERROR(VLOOKUP(Charges!R129,Paramètres!$A$15:$B$18,2,FALSE),0))),0)),0)</f>
        <v>0</v>
      </c>
      <c r="R129" t="n">
        <f>SUM(E129:Q129)</f>
        <v>0</v>
      </c>
      <c r="S129" t="n">
        <f>IF(IFERROR(VLOOKUP(A129,'Projets'!$A$8:$Z$67,7,FALSE),"")="Engager",1,0)</f>
        <v>0</v>
      </c>
      <c r="T129" t="n">
        <f>IF(OR(Charges!F129="",AND(ISNUMBER(Charges!F129),Charges!F129&gt;=0),Charges!F129="S",Charges!F129="M",Charges!F129="L",Charges!F129="XL"),0,1)+IF(OR(Charges!G129="",AND(ISNUMBER(Charges!G129),Charges!G129&gt;=0),Charges!G129="S",Charges!G129="M",Charges!G129="L",Charges!G129="XL"),0,1)+IF(OR(Charges!H129="",AND(ISNUMBER(Charges!H129),Charges!H129&gt;=0),Charges!H129="S",Charges!H129="M",Charges!H129="L",Charges!H129="XL"),0,1)+IF(OR(Charges!I129="",AND(ISNUMBER(Charges!I129),Charges!I129&gt;=0),Charges!I129="S",Charges!I129="M",Charges!I129="L",Charges!I129="XL"),0,1)+IF(OR(Charges!J129="",AND(ISNUMBER(Charges!J129),Charges!J129&gt;=0),Charges!J129="S",Charges!J129="M",Charges!J129="L",Charges!J129="XL"),0,1)+IF(OR(Charges!K129="",AND(ISNUMBER(Charges!K129),Charges!K129&gt;=0),Charges!K129="S",Charges!K129="M",Charges!K129="L",Charges!K129="XL"),0,1)+IF(OR(Charges!L129="",AND(ISNUMBER(Charges!L129),Charges!L129&gt;=0),Charges!L129="S",Charges!L129="M",Charges!L129="L",Charges!L129="XL"),0,1)+IF(OR(Charges!M129="",AND(ISNUMBER(Charges!M129),Charges!M129&gt;=0),Charges!M129="S",Charges!M129="M",Charges!M129="L",Charges!M129="XL"),0,1)+IF(OR(Charges!N129="",AND(ISNUMBER(Charges!N129),Charges!N129&gt;=0),Charges!N129="S",Charges!N129="M",Charges!N129="L",Charges!N129="XL"),0,1)+IF(OR(Charges!O129="",AND(ISNUMBER(Charges!O129),Charges!O129&gt;=0),Charges!O129="S",Charges!O129="M",Charges!O129="L",Charges!O129="XL"),0,1)+IF(OR(Charges!P129="",AND(ISNUMBER(Charges!P129),Charges!P129&gt;=0),Charges!P129="S",Charges!P129="M",Charges!P129="L",Charges!P129="XL"),0,1)+IF(OR(Charges!Q129="",AND(ISNUMBER(Charges!Q129),Charges!Q129&gt;=0),Charges!Q129="S",Charges!Q129="M",Charges!Q129="L",Charges!Q129="XL"),0,1)+IF(OR(Charges!R129="",AND(ISNUMBER(Charges!R129),Charges!R129&gt;=0),Charges!R129="S",Charges!R129="M",Charges!R129="L",Charges!R129="XL"),0,1)</f>
        <v>0</v>
      </c>
      <c r="U129" t="n">
        <f>IF(AND(1&gt;Paramètres!$B$9,Charges!F129&lt;&gt;"",Charges!F129&lt;&gt;0),1,0)+IF(AND(2&gt;Paramètres!$B$9,Charges!G129&lt;&gt;"",Charges!G129&lt;&gt;0),1,0)+IF(AND(3&gt;Paramètres!$B$9,Charges!H129&lt;&gt;"",Charges!H129&lt;&gt;0),1,0)+IF(AND(4&gt;Paramètres!$B$9,Charges!I129&lt;&gt;"",Charges!I129&lt;&gt;0),1,0)+IF(AND(5&gt;Paramètres!$B$9,Charges!J129&lt;&gt;"",Charges!J129&lt;&gt;0),1,0)+IF(AND(6&gt;Paramètres!$B$9,Charges!K129&lt;&gt;"",Charges!K129&lt;&gt;0),1,0)+IF(AND(7&gt;Paramètres!$B$9,Charges!L129&lt;&gt;"",Charges!L129&lt;&gt;0),1,0)+IF(AND(8&gt;Paramètres!$B$9,Charges!M129&lt;&gt;"",Charges!M129&lt;&gt;0),1,0)+IF(AND(9&gt;Paramètres!$B$9,Charges!N129&lt;&gt;"",Charges!N129&lt;&gt;0),1,0)+IF(AND(10&gt;Paramètres!$B$9,Charges!O129&lt;&gt;"",Charges!O129&lt;&gt;0),1,0)+IF(AND(11&gt;Paramètres!$B$9,Charges!P129&lt;&gt;"",Charges!P129&lt;&gt;0),1,0)+IF(AND(12&gt;Paramètres!$B$9,Charges!Q129&lt;&gt;"",Charges!Q129&lt;&gt;0),1,0)+IF(AND(13&gt;Paramètres!$B$9,Charges!R129&lt;&gt;"",Charges!R129&lt;&gt;0),1,0)</f>
        <v>0</v>
      </c>
      <c r="V129" t="n">
        <f>IF(IFERROR(VLOOKUP(A129,'Projets'!$A$8:$Z$67,5,FALSE),"")="Engager",1,0)</f>
        <v>0</v>
      </c>
      <c r="W129" t="n">
        <f>IF(IFERROR(VLOOKUP(A129,'Projets'!$A$8:$Z$67,6,FALSE),"")="Engager",1,0)</f>
        <v>0</v>
      </c>
      <c r="X129" t="n">
        <f>E129*S129</f>
        <v>0</v>
      </c>
      <c r="Y129" t="n">
        <f>F129*S129</f>
        <v>0</v>
      </c>
      <c r="Z129" t="n">
        <f>G129*S129</f>
        <v>0</v>
      </c>
      <c r="AA129" t="n">
        <f>H129*S129</f>
        <v>0</v>
      </c>
      <c r="AB129" t="n">
        <f>I129*S129</f>
        <v>0</v>
      </c>
      <c r="AC129" t="n">
        <f>J129*S129</f>
        <v>0</v>
      </c>
      <c r="AD129" t="n">
        <f>K129*S129</f>
        <v>0</v>
      </c>
      <c r="AE129" t="n">
        <f>L129*S129</f>
        <v>0</v>
      </c>
      <c r="AF129" t="n">
        <f>M129*S129</f>
        <v>0</v>
      </c>
      <c r="AG129" t="n">
        <f>N129*S129</f>
        <v>0</v>
      </c>
      <c r="AH129" t="n">
        <f>O129*S129</f>
        <v>0</v>
      </c>
      <c r="AI129" t="n">
        <f>P129*S129</f>
        <v>0</v>
      </c>
      <c r="AJ129" t="n">
        <f>Q129*S129</f>
        <v>0</v>
      </c>
      <c r="AK129" t="n">
        <f>E129*V129</f>
        <v>0</v>
      </c>
      <c r="AL129" t="n">
        <f>F129*V129</f>
        <v>0</v>
      </c>
      <c r="AM129" t="n">
        <f>G129*V129</f>
        <v>0</v>
      </c>
      <c r="AN129" t="n">
        <f>H129*V129</f>
        <v>0</v>
      </c>
      <c r="AO129" t="n">
        <f>I129*V129</f>
        <v>0</v>
      </c>
      <c r="AP129" t="n">
        <f>J129*V129</f>
        <v>0</v>
      </c>
      <c r="AQ129" t="n">
        <f>K129*V129</f>
        <v>0</v>
      </c>
      <c r="AR129" t="n">
        <f>L129*V129</f>
        <v>0</v>
      </c>
      <c r="AS129" t="n">
        <f>M129*V129</f>
        <v>0</v>
      </c>
      <c r="AT129" t="n">
        <f>N129*V129</f>
        <v>0</v>
      </c>
      <c r="AU129" t="n">
        <f>O129*V129</f>
        <v>0</v>
      </c>
      <c r="AV129" t="n">
        <f>P129*V129</f>
        <v>0</v>
      </c>
      <c r="AW129" t="n">
        <f>Q129*V129</f>
        <v>0</v>
      </c>
      <c r="AX129" t="n">
        <f>E129*W129</f>
        <v>0</v>
      </c>
      <c r="AY129" t="n">
        <f>F129*W129</f>
        <v>0</v>
      </c>
      <c r="AZ129" t="n">
        <f>G129*W129</f>
        <v>0</v>
      </c>
      <c r="BA129" t="n">
        <f>H129*W129</f>
        <v>0</v>
      </c>
      <c r="BB129" t="n">
        <f>I129*W129</f>
        <v>0</v>
      </c>
      <c r="BC129" t="n">
        <f>J129*W129</f>
        <v>0</v>
      </c>
      <c r="BD129" t="n">
        <f>K129*W129</f>
        <v>0</v>
      </c>
      <c r="BE129" t="n">
        <f>L129*W129</f>
        <v>0</v>
      </c>
      <c r="BF129" t="n">
        <f>M129*W129</f>
        <v>0</v>
      </c>
      <c r="BG129" t="n">
        <f>N129*W129</f>
        <v>0</v>
      </c>
      <c r="BH129" t="n">
        <f>O129*W129</f>
        <v>0</v>
      </c>
      <c r="BI129" t="n">
        <f>P129*W129</f>
        <v>0</v>
      </c>
      <c r="BJ129" t="n">
        <f>Q129*W129</f>
        <v>0</v>
      </c>
    </row>
    <row r="130">
      <c r="A130" t="n">
        <f>Charges!A130</f>
        <v>0</v>
      </c>
      <c r="B130" t="n">
        <f>Charges!C130</f>
        <v>0</v>
      </c>
      <c r="C130" t="str">
        <f>Charges!D130</f>
        <v/>
      </c>
      <c r="E130" t="n">
        <f>IF(1&lt;=Paramètres!$B$9,MAX(0,IFERROR(N(IF(ISNUMBER(Charges!F130),MAX(0,Charges!F130),IFERROR(VLOOKUP(Charges!F130,Paramètres!$A$15:$B$18,2,FALSE),0))),0)),0)</f>
        <v>0</v>
      </c>
      <c r="F130" t="n">
        <f>IF(2&lt;=Paramètres!$B$9,MAX(0,IFERROR(N(IF(ISNUMBER(Charges!G130),MAX(0,Charges!G130),IFERROR(VLOOKUP(Charges!G130,Paramètres!$A$15:$B$18,2,FALSE),0))),0)),0)</f>
        <v>0</v>
      </c>
      <c r="G130" t="n">
        <f>IF(3&lt;=Paramètres!$B$9,MAX(0,IFERROR(N(IF(ISNUMBER(Charges!H130),MAX(0,Charges!H130),IFERROR(VLOOKUP(Charges!H130,Paramètres!$A$15:$B$18,2,FALSE),0))),0)),0)</f>
        <v>0</v>
      </c>
      <c r="H130" t="n">
        <f>IF(4&lt;=Paramètres!$B$9,MAX(0,IFERROR(N(IF(ISNUMBER(Charges!I130),MAX(0,Charges!I130),IFERROR(VLOOKUP(Charges!I130,Paramètres!$A$15:$B$18,2,FALSE),0))),0)),0)</f>
        <v>0</v>
      </c>
      <c r="I130" t="n">
        <f>IF(5&lt;=Paramètres!$B$9,MAX(0,IFERROR(N(IF(ISNUMBER(Charges!J130),MAX(0,Charges!J130),IFERROR(VLOOKUP(Charges!J130,Paramètres!$A$15:$B$18,2,FALSE),0))),0)),0)</f>
        <v>0</v>
      </c>
      <c r="J130" t="n">
        <f>IF(6&lt;=Paramètres!$B$9,MAX(0,IFERROR(N(IF(ISNUMBER(Charges!K130),MAX(0,Charges!K130),IFERROR(VLOOKUP(Charges!K130,Paramètres!$A$15:$B$18,2,FALSE),0))),0)),0)</f>
        <v>0</v>
      </c>
      <c r="K130" t="n">
        <f>IF(7&lt;=Paramètres!$B$9,MAX(0,IFERROR(N(IF(ISNUMBER(Charges!L130),MAX(0,Charges!L130),IFERROR(VLOOKUP(Charges!L130,Paramètres!$A$15:$B$18,2,FALSE),0))),0)),0)</f>
        <v>0</v>
      </c>
      <c r="L130" t="n">
        <f>IF(8&lt;=Paramètres!$B$9,MAX(0,IFERROR(N(IF(ISNUMBER(Charges!M130),MAX(0,Charges!M130),IFERROR(VLOOKUP(Charges!M130,Paramètres!$A$15:$B$18,2,FALSE),0))),0)),0)</f>
        <v>0</v>
      </c>
      <c r="M130" t="n">
        <f>IF(9&lt;=Paramètres!$B$9,MAX(0,IFERROR(N(IF(ISNUMBER(Charges!N130),MAX(0,Charges!N130),IFERROR(VLOOKUP(Charges!N130,Paramètres!$A$15:$B$18,2,FALSE),0))),0)),0)</f>
        <v>0</v>
      </c>
      <c r="N130" t="n">
        <f>IF(10&lt;=Paramètres!$B$9,MAX(0,IFERROR(N(IF(ISNUMBER(Charges!O130),MAX(0,Charges!O130),IFERROR(VLOOKUP(Charges!O130,Paramètres!$A$15:$B$18,2,FALSE),0))),0)),0)</f>
        <v>0</v>
      </c>
      <c r="O130" t="n">
        <f>IF(11&lt;=Paramètres!$B$9,MAX(0,IFERROR(N(IF(ISNUMBER(Charges!P130),MAX(0,Charges!P130),IFERROR(VLOOKUP(Charges!P130,Paramètres!$A$15:$B$18,2,FALSE),0))),0)),0)</f>
        <v>0</v>
      </c>
      <c r="P130" t="n">
        <f>IF(12&lt;=Paramètres!$B$9,MAX(0,IFERROR(N(IF(ISNUMBER(Charges!Q130),MAX(0,Charges!Q130),IFERROR(VLOOKUP(Charges!Q130,Paramètres!$A$15:$B$18,2,FALSE),0))),0)),0)</f>
        <v>0</v>
      </c>
      <c r="Q130" t="n">
        <f>IF(13&lt;=Paramètres!$B$9,MAX(0,IFERROR(N(IF(ISNUMBER(Charges!R130),MAX(0,Charges!R130),IFERROR(VLOOKUP(Charges!R130,Paramètres!$A$15:$B$18,2,FALSE),0))),0)),0)</f>
        <v>0</v>
      </c>
      <c r="R130" t="n">
        <f>SUM(E130:Q130)</f>
        <v>0</v>
      </c>
      <c r="S130" t="n">
        <f>IF(IFERROR(VLOOKUP(A130,'Projets'!$A$8:$Z$67,7,FALSE),"")="Engager",1,0)</f>
        <v>0</v>
      </c>
      <c r="T130" t="n">
        <f>IF(OR(Charges!F130="",AND(ISNUMBER(Charges!F130),Charges!F130&gt;=0),Charges!F130="S",Charges!F130="M",Charges!F130="L",Charges!F130="XL"),0,1)+IF(OR(Charges!G130="",AND(ISNUMBER(Charges!G130),Charges!G130&gt;=0),Charges!G130="S",Charges!G130="M",Charges!G130="L",Charges!G130="XL"),0,1)+IF(OR(Charges!H130="",AND(ISNUMBER(Charges!H130),Charges!H130&gt;=0),Charges!H130="S",Charges!H130="M",Charges!H130="L",Charges!H130="XL"),0,1)+IF(OR(Charges!I130="",AND(ISNUMBER(Charges!I130),Charges!I130&gt;=0),Charges!I130="S",Charges!I130="M",Charges!I130="L",Charges!I130="XL"),0,1)+IF(OR(Charges!J130="",AND(ISNUMBER(Charges!J130),Charges!J130&gt;=0),Charges!J130="S",Charges!J130="M",Charges!J130="L",Charges!J130="XL"),0,1)+IF(OR(Charges!K130="",AND(ISNUMBER(Charges!K130),Charges!K130&gt;=0),Charges!K130="S",Charges!K130="M",Charges!K130="L",Charges!K130="XL"),0,1)+IF(OR(Charges!L130="",AND(ISNUMBER(Charges!L130),Charges!L130&gt;=0),Charges!L130="S",Charges!L130="M",Charges!L130="L",Charges!L130="XL"),0,1)+IF(OR(Charges!M130="",AND(ISNUMBER(Charges!M130),Charges!M130&gt;=0),Charges!M130="S",Charges!M130="M",Charges!M130="L",Charges!M130="XL"),0,1)+IF(OR(Charges!N130="",AND(ISNUMBER(Charges!N130),Charges!N130&gt;=0),Charges!N130="S",Charges!N130="M",Charges!N130="L",Charges!N130="XL"),0,1)+IF(OR(Charges!O130="",AND(ISNUMBER(Charges!O130),Charges!O130&gt;=0),Charges!O130="S",Charges!O130="M",Charges!O130="L",Charges!O130="XL"),0,1)+IF(OR(Charges!P130="",AND(ISNUMBER(Charges!P130),Charges!P130&gt;=0),Charges!P130="S",Charges!P130="M",Charges!P130="L",Charges!P130="XL"),0,1)+IF(OR(Charges!Q130="",AND(ISNUMBER(Charges!Q130),Charges!Q130&gt;=0),Charges!Q130="S",Charges!Q130="M",Charges!Q130="L",Charges!Q130="XL"),0,1)+IF(OR(Charges!R130="",AND(ISNUMBER(Charges!R130),Charges!R130&gt;=0),Charges!R130="S",Charges!R130="M",Charges!R130="L",Charges!R130="XL"),0,1)</f>
        <v>0</v>
      </c>
      <c r="U130" t="n">
        <f>IF(AND(1&gt;Paramètres!$B$9,Charges!F130&lt;&gt;"",Charges!F130&lt;&gt;0),1,0)+IF(AND(2&gt;Paramètres!$B$9,Charges!G130&lt;&gt;"",Charges!G130&lt;&gt;0),1,0)+IF(AND(3&gt;Paramètres!$B$9,Charges!H130&lt;&gt;"",Charges!H130&lt;&gt;0),1,0)+IF(AND(4&gt;Paramètres!$B$9,Charges!I130&lt;&gt;"",Charges!I130&lt;&gt;0),1,0)+IF(AND(5&gt;Paramètres!$B$9,Charges!J130&lt;&gt;"",Charges!J130&lt;&gt;0),1,0)+IF(AND(6&gt;Paramètres!$B$9,Charges!K130&lt;&gt;"",Charges!K130&lt;&gt;0),1,0)+IF(AND(7&gt;Paramètres!$B$9,Charges!L130&lt;&gt;"",Charges!L130&lt;&gt;0),1,0)+IF(AND(8&gt;Paramètres!$B$9,Charges!M130&lt;&gt;"",Charges!M130&lt;&gt;0),1,0)+IF(AND(9&gt;Paramètres!$B$9,Charges!N130&lt;&gt;"",Charges!N130&lt;&gt;0),1,0)+IF(AND(10&gt;Paramètres!$B$9,Charges!O130&lt;&gt;"",Charges!O130&lt;&gt;0),1,0)+IF(AND(11&gt;Paramètres!$B$9,Charges!P130&lt;&gt;"",Charges!P130&lt;&gt;0),1,0)+IF(AND(12&gt;Paramètres!$B$9,Charges!Q130&lt;&gt;"",Charges!Q130&lt;&gt;0),1,0)+IF(AND(13&gt;Paramètres!$B$9,Charges!R130&lt;&gt;"",Charges!R130&lt;&gt;0),1,0)</f>
        <v>0</v>
      </c>
      <c r="V130" t="n">
        <f>IF(IFERROR(VLOOKUP(A130,'Projets'!$A$8:$Z$67,5,FALSE),"")="Engager",1,0)</f>
        <v>0</v>
      </c>
      <c r="W130" t="n">
        <f>IF(IFERROR(VLOOKUP(A130,'Projets'!$A$8:$Z$67,6,FALSE),"")="Engager",1,0)</f>
        <v>0</v>
      </c>
      <c r="X130" t="n">
        <f>E130*S130</f>
        <v>0</v>
      </c>
      <c r="Y130" t="n">
        <f>F130*S130</f>
        <v>0</v>
      </c>
      <c r="Z130" t="n">
        <f>G130*S130</f>
        <v>0</v>
      </c>
      <c r="AA130" t="n">
        <f>H130*S130</f>
        <v>0</v>
      </c>
      <c r="AB130" t="n">
        <f>I130*S130</f>
        <v>0</v>
      </c>
      <c r="AC130" t="n">
        <f>J130*S130</f>
        <v>0</v>
      </c>
      <c r="AD130" t="n">
        <f>K130*S130</f>
        <v>0</v>
      </c>
      <c r="AE130" t="n">
        <f>L130*S130</f>
        <v>0</v>
      </c>
      <c r="AF130" t="n">
        <f>M130*S130</f>
        <v>0</v>
      </c>
      <c r="AG130" t="n">
        <f>N130*S130</f>
        <v>0</v>
      </c>
      <c r="AH130" t="n">
        <f>O130*S130</f>
        <v>0</v>
      </c>
      <c r="AI130" t="n">
        <f>P130*S130</f>
        <v>0</v>
      </c>
      <c r="AJ130" t="n">
        <f>Q130*S130</f>
        <v>0</v>
      </c>
      <c r="AK130" t="n">
        <f>E130*V130</f>
        <v>0</v>
      </c>
      <c r="AL130" t="n">
        <f>F130*V130</f>
        <v>0</v>
      </c>
      <c r="AM130" t="n">
        <f>G130*V130</f>
        <v>0</v>
      </c>
      <c r="AN130" t="n">
        <f>H130*V130</f>
        <v>0</v>
      </c>
      <c r="AO130" t="n">
        <f>I130*V130</f>
        <v>0</v>
      </c>
      <c r="AP130" t="n">
        <f>J130*V130</f>
        <v>0</v>
      </c>
      <c r="AQ130" t="n">
        <f>K130*V130</f>
        <v>0</v>
      </c>
      <c r="AR130" t="n">
        <f>L130*V130</f>
        <v>0</v>
      </c>
      <c r="AS130" t="n">
        <f>M130*V130</f>
        <v>0</v>
      </c>
      <c r="AT130" t="n">
        <f>N130*V130</f>
        <v>0</v>
      </c>
      <c r="AU130" t="n">
        <f>O130*V130</f>
        <v>0</v>
      </c>
      <c r="AV130" t="n">
        <f>P130*V130</f>
        <v>0</v>
      </c>
      <c r="AW130" t="n">
        <f>Q130*V130</f>
        <v>0</v>
      </c>
      <c r="AX130" t="n">
        <f>E130*W130</f>
        <v>0</v>
      </c>
      <c r="AY130" t="n">
        <f>F130*W130</f>
        <v>0</v>
      </c>
      <c r="AZ130" t="n">
        <f>G130*W130</f>
        <v>0</v>
      </c>
      <c r="BA130" t="n">
        <f>H130*W130</f>
        <v>0</v>
      </c>
      <c r="BB130" t="n">
        <f>I130*W130</f>
        <v>0</v>
      </c>
      <c r="BC130" t="n">
        <f>J130*W130</f>
        <v>0</v>
      </c>
      <c r="BD130" t="n">
        <f>K130*W130</f>
        <v>0</v>
      </c>
      <c r="BE130" t="n">
        <f>L130*W130</f>
        <v>0</v>
      </c>
      <c r="BF130" t="n">
        <f>M130*W130</f>
        <v>0</v>
      </c>
      <c r="BG130" t="n">
        <f>N130*W130</f>
        <v>0</v>
      </c>
      <c r="BH130" t="n">
        <f>O130*W130</f>
        <v>0</v>
      </c>
      <c r="BI130" t="n">
        <f>P130*W130</f>
        <v>0</v>
      </c>
      <c r="BJ130" t="n">
        <f>Q130*W130</f>
        <v>0</v>
      </c>
    </row>
    <row r="131">
      <c r="A131" t="n">
        <f>Charges!A131</f>
        <v>0</v>
      </c>
      <c r="B131" t="n">
        <f>Charges!C131</f>
        <v>0</v>
      </c>
      <c r="C131" t="str">
        <f>Charges!D131</f>
        <v/>
      </c>
      <c r="E131" t="n">
        <f>IF(1&lt;=Paramètres!$B$9,MAX(0,IFERROR(N(IF(ISNUMBER(Charges!F131),MAX(0,Charges!F131),IFERROR(VLOOKUP(Charges!F131,Paramètres!$A$15:$B$18,2,FALSE),0))),0)),0)</f>
        <v>0</v>
      </c>
      <c r="F131" t="n">
        <f>IF(2&lt;=Paramètres!$B$9,MAX(0,IFERROR(N(IF(ISNUMBER(Charges!G131),MAX(0,Charges!G131),IFERROR(VLOOKUP(Charges!G131,Paramètres!$A$15:$B$18,2,FALSE),0))),0)),0)</f>
        <v>0</v>
      </c>
      <c r="G131" t="n">
        <f>IF(3&lt;=Paramètres!$B$9,MAX(0,IFERROR(N(IF(ISNUMBER(Charges!H131),MAX(0,Charges!H131),IFERROR(VLOOKUP(Charges!H131,Paramètres!$A$15:$B$18,2,FALSE),0))),0)),0)</f>
        <v>0</v>
      </c>
      <c r="H131" t="n">
        <f>IF(4&lt;=Paramètres!$B$9,MAX(0,IFERROR(N(IF(ISNUMBER(Charges!I131),MAX(0,Charges!I131),IFERROR(VLOOKUP(Charges!I131,Paramètres!$A$15:$B$18,2,FALSE),0))),0)),0)</f>
        <v>0</v>
      </c>
      <c r="I131" t="n">
        <f>IF(5&lt;=Paramètres!$B$9,MAX(0,IFERROR(N(IF(ISNUMBER(Charges!J131),MAX(0,Charges!J131),IFERROR(VLOOKUP(Charges!J131,Paramètres!$A$15:$B$18,2,FALSE),0))),0)),0)</f>
        <v>0</v>
      </c>
      <c r="J131" t="n">
        <f>IF(6&lt;=Paramètres!$B$9,MAX(0,IFERROR(N(IF(ISNUMBER(Charges!K131),MAX(0,Charges!K131),IFERROR(VLOOKUP(Charges!K131,Paramètres!$A$15:$B$18,2,FALSE),0))),0)),0)</f>
        <v>0</v>
      </c>
      <c r="K131" t="n">
        <f>IF(7&lt;=Paramètres!$B$9,MAX(0,IFERROR(N(IF(ISNUMBER(Charges!L131),MAX(0,Charges!L131),IFERROR(VLOOKUP(Charges!L131,Paramètres!$A$15:$B$18,2,FALSE),0))),0)),0)</f>
        <v>0</v>
      </c>
      <c r="L131" t="n">
        <f>IF(8&lt;=Paramètres!$B$9,MAX(0,IFERROR(N(IF(ISNUMBER(Charges!M131),MAX(0,Charges!M131),IFERROR(VLOOKUP(Charges!M131,Paramètres!$A$15:$B$18,2,FALSE),0))),0)),0)</f>
        <v>0</v>
      </c>
      <c r="M131" t="n">
        <f>IF(9&lt;=Paramètres!$B$9,MAX(0,IFERROR(N(IF(ISNUMBER(Charges!N131),MAX(0,Charges!N131),IFERROR(VLOOKUP(Charges!N131,Paramètres!$A$15:$B$18,2,FALSE),0))),0)),0)</f>
        <v>0</v>
      </c>
      <c r="N131" t="n">
        <f>IF(10&lt;=Paramètres!$B$9,MAX(0,IFERROR(N(IF(ISNUMBER(Charges!O131),MAX(0,Charges!O131),IFERROR(VLOOKUP(Charges!O131,Paramètres!$A$15:$B$18,2,FALSE),0))),0)),0)</f>
        <v>0</v>
      </c>
      <c r="O131" t="n">
        <f>IF(11&lt;=Paramètres!$B$9,MAX(0,IFERROR(N(IF(ISNUMBER(Charges!P131),MAX(0,Charges!P131),IFERROR(VLOOKUP(Charges!P131,Paramètres!$A$15:$B$18,2,FALSE),0))),0)),0)</f>
        <v>0</v>
      </c>
      <c r="P131" t="n">
        <f>IF(12&lt;=Paramètres!$B$9,MAX(0,IFERROR(N(IF(ISNUMBER(Charges!Q131),MAX(0,Charges!Q131),IFERROR(VLOOKUP(Charges!Q131,Paramètres!$A$15:$B$18,2,FALSE),0))),0)),0)</f>
        <v>0</v>
      </c>
      <c r="Q131" t="n">
        <f>IF(13&lt;=Paramètres!$B$9,MAX(0,IFERROR(N(IF(ISNUMBER(Charges!R131),MAX(0,Charges!R131),IFERROR(VLOOKUP(Charges!R131,Paramètres!$A$15:$B$18,2,FALSE),0))),0)),0)</f>
        <v>0</v>
      </c>
      <c r="R131" t="n">
        <f>SUM(E131:Q131)</f>
        <v>0</v>
      </c>
      <c r="S131" t="n">
        <f>IF(IFERROR(VLOOKUP(A131,'Projets'!$A$8:$Z$67,7,FALSE),"")="Engager",1,0)</f>
        <v>0</v>
      </c>
      <c r="T131" t="n">
        <f>IF(OR(Charges!F131="",AND(ISNUMBER(Charges!F131),Charges!F131&gt;=0),Charges!F131="S",Charges!F131="M",Charges!F131="L",Charges!F131="XL"),0,1)+IF(OR(Charges!G131="",AND(ISNUMBER(Charges!G131),Charges!G131&gt;=0),Charges!G131="S",Charges!G131="M",Charges!G131="L",Charges!G131="XL"),0,1)+IF(OR(Charges!H131="",AND(ISNUMBER(Charges!H131),Charges!H131&gt;=0),Charges!H131="S",Charges!H131="M",Charges!H131="L",Charges!H131="XL"),0,1)+IF(OR(Charges!I131="",AND(ISNUMBER(Charges!I131),Charges!I131&gt;=0),Charges!I131="S",Charges!I131="M",Charges!I131="L",Charges!I131="XL"),0,1)+IF(OR(Charges!J131="",AND(ISNUMBER(Charges!J131),Charges!J131&gt;=0),Charges!J131="S",Charges!J131="M",Charges!J131="L",Charges!J131="XL"),0,1)+IF(OR(Charges!K131="",AND(ISNUMBER(Charges!K131),Charges!K131&gt;=0),Charges!K131="S",Charges!K131="M",Charges!K131="L",Charges!K131="XL"),0,1)+IF(OR(Charges!L131="",AND(ISNUMBER(Charges!L131),Charges!L131&gt;=0),Charges!L131="S",Charges!L131="M",Charges!L131="L",Charges!L131="XL"),0,1)+IF(OR(Charges!M131="",AND(ISNUMBER(Charges!M131),Charges!M131&gt;=0),Charges!M131="S",Charges!M131="M",Charges!M131="L",Charges!M131="XL"),0,1)+IF(OR(Charges!N131="",AND(ISNUMBER(Charges!N131),Charges!N131&gt;=0),Charges!N131="S",Charges!N131="M",Charges!N131="L",Charges!N131="XL"),0,1)+IF(OR(Charges!O131="",AND(ISNUMBER(Charges!O131),Charges!O131&gt;=0),Charges!O131="S",Charges!O131="M",Charges!O131="L",Charges!O131="XL"),0,1)+IF(OR(Charges!P131="",AND(ISNUMBER(Charges!P131),Charges!P131&gt;=0),Charges!P131="S",Charges!P131="M",Charges!P131="L",Charges!P131="XL"),0,1)+IF(OR(Charges!Q131="",AND(ISNUMBER(Charges!Q131),Charges!Q131&gt;=0),Charges!Q131="S",Charges!Q131="M",Charges!Q131="L",Charges!Q131="XL"),0,1)+IF(OR(Charges!R131="",AND(ISNUMBER(Charges!R131),Charges!R131&gt;=0),Charges!R131="S",Charges!R131="M",Charges!R131="L",Charges!R131="XL"),0,1)</f>
        <v>0</v>
      </c>
      <c r="U131" t="n">
        <f>IF(AND(1&gt;Paramètres!$B$9,Charges!F131&lt;&gt;"",Charges!F131&lt;&gt;0),1,0)+IF(AND(2&gt;Paramètres!$B$9,Charges!G131&lt;&gt;"",Charges!G131&lt;&gt;0),1,0)+IF(AND(3&gt;Paramètres!$B$9,Charges!H131&lt;&gt;"",Charges!H131&lt;&gt;0),1,0)+IF(AND(4&gt;Paramètres!$B$9,Charges!I131&lt;&gt;"",Charges!I131&lt;&gt;0),1,0)+IF(AND(5&gt;Paramètres!$B$9,Charges!J131&lt;&gt;"",Charges!J131&lt;&gt;0),1,0)+IF(AND(6&gt;Paramètres!$B$9,Charges!K131&lt;&gt;"",Charges!K131&lt;&gt;0),1,0)+IF(AND(7&gt;Paramètres!$B$9,Charges!L131&lt;&gt;"",Charges!L131&lt;&gt;0),1,0)+IF(AND(8&gt;Paramètres!$B$9,Charges!M131&lt;&gt;"",Charges!M131&lt;&gt;0),1,0)+IF(AND(9&gt;Paramètres!$B$9,Charges!N131&lt;&gt;"",Charges!N131&lt;&gt;0),1,0)+IF(AND(10&gt;Paramètres!$B$9,Charges!O131&lt;&gt;"",Charges!O131&lt;&gt;0),1,0)+IF(AND(11&gt;Paramètres!$B$9,Charges!P131&lt;&gt;"",Charges!P131&lt;&gt;0),1,0)+IF(AND(12&gt;Paramètres!$B$9,Charges!Q131&lt;&gt;"",Charges!Q131&lt;&gt;0),1,0)+IF(AND(13&gt;Paramètres!$B$9,Charges!R131&lt;&gt;"",Charges!R131&lt;&gt;0),1,0)</f>
        <v>0</v>
      </c>
      <c r="V131" t="n">
        <f>IF(IFERROR(VLOOKUP(A131,'Projets'!$A$8:$Z$67,5,FALSE),"")="Engager",1,0)</f>
        <v>0</v>
      </c>
      <c r="W131" t="n">
        <f>IF(IFERROR(VLOOKUP(A131,'Projets'!$A$8:$Z$67,6,FALSE),"")="Engager",1,0)</f>
        <v>0</v>
      </c>
      <c r="X131" t="n">
        <f>E131*S131</f>
        <v>0</v>
      </c>
      <c r="Y131" t="n">
        <f>F131*S131</f>
        <v>0</v>
      </c>
      <c r="Z131" t="n">
        <f>G131*S131</f>
        <v>0</v>
      </c>
      <c r="AA131" t="n">
        <f>H131*S131</f>
        <v>0</v>
      </c>
      <c r="AB131" t="n">
        <f>I131*S131</f>
        <v>0</v>
      </c>
      <c r="AC131" t="n">
        <f>J131*S131</f>
        <v>0</v>
      </c>
      <c r="AD131" t="n">
        <f>K131*S131</f>
        <v>0</v>
      </c>
      <c r="AE131" t="n">
        <f>L131*S131</f>
        <v>0</v>
      </c>
      <c r="AF131" t="n">
        <f>M131*S131</f>
        <v>0</v>
      </c>
      <c r="AG131" t="n">
        <f>N131*S131</f>
        <v>0</v>
      </c>
      <c r="AH131" t="n">
        <f>O131*S131</f>
        <v>0</v>
      </c>
      <c r="AI131" t="n">
        <f>P131*S131</f>
        <v>0</v>
      </c>
      <c r="AJ131" t="n">
        <f>Q131*S131</f>
        <v>0</v>
      </c>
      <c r="AK131" t="n">
        <f>E131*V131</f>
        <v>0</v>
      </c>
      <c r="AL131" t="n">
        <f>F131*V131</f>
        <v>0</v>
      </c>
      <c r="AM131" t="n">
        <f>G131*V131</f>
        <v>0</v>
      </c>
      <c r="AN131" t="n">
        <f>H131*V131</f>
        <v>0</v>
      </c>
      <c r="AO131" t="n">
        <f>I131*V131</f>
        <v>0</v>
      </c>
      <c r="AP131" t="n">
        <f>J131*V131</f>
        <v>0</v>
      </c>
      <c r="AQ131" t="n">
        <f>K131*V131</f>
        <v>0</v>
      </c>
      <c r="AR131" t="n">
        <f>L131*V131</f>
        <v>0</v>
      </c>
      <c r="AS131" t="n">
        <f>M131*V131</f>
        <v>0</v>
      </c>
      <c r="AT131" t="n">
        <f>N131*V131</f>
        <v>0</v>
      </c>
      <c r="AU131" t="n">
        <f>O131*V131</f>
        <v>0</v>
      </c>
      <c r="AV131" t="n">
        <f>P131*V131</f>
        <v>0</v>
      </c>
      <c r="AW131" t="n">
        <f>Q131*V131</f>
        <v>0</v>
      </c>
      <c r="AX131" t="n">
        <f>E131*W131</f>
        <v>0</v>
      </c>
      <c r="AY131" t="n">
        <f>F131*W131</f>
        <v>0</v>
      </c>
      <c r="AZ131" t="n">
        <f>G131*W131</f>
        <v>0</v>
      </c>
      <c r="BA131" t="n">
        <f>H131*W131</f>
        <v>0</v>
      </c>
      <c r="BB131" t="n">
        <f>I131*W131</f>
        <v>0</v>
      </c>
      <c r="BC131" t="n">
        <f>J131*W131</f>
        <v>0</v>
      </c>
      <c r="BD131" t="n">
        <f>K131*W131</f>
        <v>0</v>
      </c>
      <c r="BE131" t="n">
        <f>L131*W131</f>
        <v>0</v>
      </c>
      <c r="BF131" t="n">
        <f>M131*W131</f>
        <v>0</v>
      </c>
      <c r="BG131" t="n">
        <f>N131*W131</f>
        <v>0</v>
      </c>
      <c r="BH131" t="n">
        <f>O131*W131</f>
        <v>0</v>
      </c>
      <c r="BI131" t="n">
        <f>P131*W131</f>
        <v>0</v>
      </c>
      <c r="BJ131" t="n">
        <f>Q131*W131</f>
        <v>0</v>
      </c>
    </row>
    <row r="132">
      <c r="A132" t="n">
        <f>Charges!A132</f>
        <v>0</v>
      </c>
      <c r="B132" t="n">
        <f>Charges!C132</f>
        <v>0</v>
      </c>
      <c r="C132" t="str">
        <f>Charges!D132</f>
        <v/>
      </c>
      <c r="E132" t="n">
        <f>IF(1&lt;=Paramètres!$B$9,MAX(0,IFERROR(N(IF(ISNUMBER(Charges!F132),MAX(0,Charges!F132),IFERROR(VLOOKUP(Charges!F132,Paramètres!$A$15:$B$18,2,FALSE),0))),0)),0)</f>
        <v>0</v>
      </c>
      <c r="F132" t="n">
        <f>IF(2&lt;=Paramètres!$B$9,MAX(0,IFERROR(N(IF(ISNUMBER(Charges!G132),MAX(0,Charges!G132),IFERROR(VLOOKUP(Charges!G132,Paramètres!$A$15:$B$18,2,FALSE),0))),0)),0)</f>
        <v>0</v>
      </c>
      <c r="G132" t="n">
        <f>IF(3&lt;=Paramètres!$B$9,MAX(0,IFERROR(N(IF(ISNUMBER(Charges!H132),MAX(0,Charges!H132),IFERROR(VLOOKUP(Charges!H132,Paramètres!$A$15:$B$18,2,FALSE),0))),0)),0)</f>
        <v>0</v>
      </c>
      <c r="H132" t="n">
        <f>IF(4&lt;=Paramètres!$B$9,MAX(0,IFERROR(N(IF(ISNUMBER(Charges!I132),MAX(0,Charges!I132),IFERROR(VLOOKUP(Charges!I132,Paramètres!$A$15:$B$18,2,FALSE),0))),0)),0)</f>
        <v>0</v>
      </c>
      <c r="I132" t="n">
        <f>IF(5&lt;=Paramètres!$B$9,MAX(0,IFERROR(N(IF(ISNUMBER(Charges!J132),MAX(0,Charges!J132),IFERROR(VLOOKUP(Charges!J132,Paramètres!$A$15:$B$18,2,FALSE),0))),0)),0)</f>
        <v>0</v>
      </c>
      <c r="J132" t="n">
        <f>IF(6&lt;=Paramètres!$B$9,MAX(0,IFERROR(N(IF(ISNUMBER(Charges!K132),MAX(0,Charges!K132),IFERROR(VLOOKUP(Charges!K132,Paramètres!$A$15:$B$18,2,FALSE),0))),0)),0)</f>
        <v>0</v>
      </c>
      <c r="K132" t="n">
        <f>IF(7&lt;=Paramètres!$B$9,MAX(0,IFERROR(N(IF(ISNUMBER(Charges!L132),MAX(0,Charges!L132),IFERROR(VLOOKUP(Charges!L132,Paramètres!$A$15:$B$18,2,FALSE),0))),0)),0)</f>
        <v>0</v>
      </c>
      <c r="L132" t="n">
        <f>IF(8&lt;=Paramètres!$B$9,MAX(0,IFERROR(N(IF(ISNUMBER(Charges!M132),MAX(0,Charges!M132),IFERROR(VLOOKUP(Charges!M132,Paramètres!$A$15:$B$18,2,FALSE),0))),0)),0)</f>
        <v>0</v>
      </c>
      <c r="M132" t="n">
        <f>IF(9&lt;=Paramètres!$B$9,MAX(0,IFERROR(N(IF(ISNUMBER(Charges!N132),MAX(0,Charges!N132),IFERROR(VLOOKUP(Charges!N132,Paramètres!$A$15:$B$18,2,FALSE),0))),0)),0)</f>
        <v>0</v>
      </c>
      <c r="N132" t="n">
        <f>IF(10&lt;=Paramètres!$B$9,MAX(0,IFERROR(N(IF(ISNUMBER(Charges!O132),MAX(0,Charges!O132),IFERROR(VLOOKUP(Charges!O132,Paramètres!$A$15:$B$18,2,FALSE),0))),0)),0)</f>
        <v>0</v>
      </c>
      <c r="O132" t="n">
        <f>IF(11&lt;=Paramètres!$B$9,MAX(0,IFERROR(N(IF(ISNUMBER(Charges!P132),MAX(0,Charges!P132),IFERROR(VLOOKUP(Charges!P132,Paramètres!$A$15:$B$18,2,FALSE),0))),0)),0)</f>
        <v>0</v>
      </c>
      <c r="P132" t="n">
        <f>IF(12&lt;=Paramètres!$B$9,MAX(0,IFERROR(N(IF(ISNUMBER(Charges!Q132),MAX(0,Charges!Q132),IFERROR(VLOOKUP(Charges!Q132,Paramètres!$A$15:$B$18,2,FALSE),0))),0)),0)</f>
        <v>0</v>
      </c>
      <c r="Q132" t="n">
        <f>IF(13&lt;=Paramètres!$B$9,MAX(0,IFERROR(N(IF(ISNUMBER(Charges!R132),MAX(0,Charges!R132),IFERROR(VLOOKUP(Charges!R132,Paramètres!$A$15:$B$18,2,FALSE),0))),0)),0)</f>
        <v>0</v>
      </c>
      <c r="R132" t="n">
        <f>SUM(E132:Q132)</f>
        <v>0</v>
      </c>
      <c r="S132" t="n">
        <f>IF(IFERROR(VLOOKUP(A132,'Projets'!$A$8:$Z$67,7,FALSE),"")="Engager",1,0)</f>
        <v>0</v>
      </c>
      <c r="T132" t="n">
        <f>IF(OR(Charges!F132="",AND(ISNUMBER(Charges!F132),Charges!F132&gt;=0),Charges!F132="S",Charges!F132="M",Charges!F132="L",Charges!F132="XL"),0,1)+IF(OR(Charges!G132="",AND(ISNUMBER(Charges!G132),Charges!G132&gt;=0),Charges!G132="S",Charges!G132="M",Charges!G132="L",Charges!G132="XL"),0,1)+IF(OR(Charges!H132="",AND(ISNUMBER(Charges!H132),Charges!H132&gt;=0),Charges!H132="S",Charges!H132="M",Charges!H132="L",Charges!H132="XL"),0,1)+IF(OR(Charges!I132="",AND(ISNUMBER(Charges!I132),Charges!I132&gt;=0),Charges!I132="S",Charges!I132="M",Charges!I132="L",Charges!I132="XL"),0,1)+IF(OR(Charges!J132="",AND(ISNUMBER(Charges!J132),Charges!J132&gt;=0),Charges!J132="S",Charges!J132="M",Charges!J132="L",Charges!J132="XL"),0,1)+IF(OR(Charges!K132="",AND(ISNUMBER(Charges!K132),Charges!K132&gt;=0),Charges!K132="S",Charges!K132="M",Charges!K132="L",Charges!K132="XL"),0,1)+IF(OR(Charges!L132="",AND(ISNUMBER(Charges!L132),Charges!L132&gt;=0),Charges!L132="S",Charges!L132="M",Charges!L132="L",Charges!L132="XL"),0,1)+IF(OR(Charges!M132="",AND(ISNUMBER(Charges!M132),Charges!M132&gt;=0),Charges!M132="S",Charges!M132="M",Charges!M132="L",Charges!M132="XL"),0,1)+IF(OR(Charges!N132="",AND(ISNUMBER(Charges!N132),Charges!N132&gt;=0),Charges!N132="S",Charges!N132="M",Charges!N132="L",Charges!N132="XL"),0,1)+IF(OR(Charges!O132="",AND(ISNUMBER(Charges!O132),Charges!O132&gt;=0),Charges!O132="S",Charges!O132="M",Charges!O132="L",Charges!O132="XL"),0,1)+IF(OR(Charges!P132="",AND(ISNUMBER(Charges!P132),Charges!P132&gt;=0),Charges!P132="S",Charges!P132="M",Charges!P132="L",Charges!P132="XL"),0,1)+IF(OR(Charges!Q132="",AND(ISNUMBER(Charges!Q132),Charges!Q132&gt;=0),Charges!Q132="S",Charges!Q132="M",Charges!Q132="L",Charges!Q132="XL"),0,1)+IF(OR(Charges!R132="",AND(ISNUMBER(Charges!R132),Charges!R132&gt;=0),Charges!R132="S",Charges!R132="M",Charges!R132="L",Charges!R132="XL"),0,1)</f>
        <v>0</v>
      </c>
      <c r="U132" t="n">
        <f>IF(AND(1&gt;Paramètres!$B$9,Charges!F132&lt;&gt;"",Charges!F132&lt;&gt;0),1,0)+IF(AND(2&gt;Paramètres!$B$9,Charges!G132&lt;&gt;"",Charges!G132&lt;&gt;0),1,0)+IF(AND(3&gt;Paramètres!$B$9,Charges!H132&lt;&gt;"",Charges!H132&lt;&gt;0),1,0)+IF(AND(4&gt;Paramètres!$B$9,Charges!I132&lt;&gt;"",Charges!I132&lt;&gt;0),1,0)+IF(AND(5&gt;Paramètres!$B$9,Charges!J132&lt;&gt;"",Charges!J132&lt;&gt;0),1,0)+IF(AND(6&gt;Paramètres!$B$9,Charges!K132&lt;&gt;"",Charges!K132&lt;&gt;0),1,0)+IF(AND(7&gt;Paramètres!$B$9,Charges!L132&lt;&gt;"",Charges!L132&lt;&gt;0),1,0)+IF(AND(8&gt;Paramètres!$B$9,Charges!M132&lt;&gt;"",Charges!M132&lt;&gt;0),1,0)+IF(AND(9&gt;Paramètres!$B$9,Charges!N132&lt;&gt;"",Charges!N132&lt;&gt;0),1,0)+IF(AND(10&gt;Paramètres!$B$9,Charges!O132&lt;&gt;"",Charges!O132&lt;&gt;0),1,0)+IF(AND(11&gt;Paramètres!$B$9,Charges!P132&lt;&gt;"",Charges!P132&lt;&gt;0),1,0)+IF(AND(12&gt;Paramètres!$B$9,Charges!Q132&lt;&gt;"",Charges!Q132&lt;&gt;0),1,0)+IF(AND(13&gt;Paramètres!$B$9,Charges!R132&lt;&gt;"",Charges!R132&lt;&gt;0),1,0)</f>
        <v>0</v>
      </c>
      <c r="V132" t="n">
        <f>IF(IFERROR(VLOOKUP(A132,'Projets'!$A$8:$Z$67,5,FALSE),"")="Engager",1,0)</f>
        <v>0</v>
      </c>
      <c r="W132" t="n">
        <f>IF(IFERROR(VLOOKUP(A132,'Projets'!$A$8:$Z$67,6,FALSE),"")="Engager",1,0)</f>
        <v>0</v>
      </c>
      <c r="X132" t="n">
        <f>E132*S132</f>
        <v>0</v>
      </c>
      <c r="Y132" t="n">
        <f>F132*S132</f>
        <v>0</v>
      </c>
      <c r="Z132" t="n">
        <f>G132*S132</f>
        <v>0</v>
      </c>
      <c r="AA132" t="n">
        <f>H132*S132</f>
        <v>0</v>
      </c>
      <c r="AB132" t="n">
        <f>I132*S132</f>
        <v>0</v>
      </c>
      <c r="AC132" t="n">
        <f>J132*S132</f>
        <v>0</v>
      </c>
      <c r="AD132" t="n">
        <f>K132*S132</f>
        <v>0</v>
      </c>
      <c r="AE132" t="n">
        <f>L132*S132</f>
        <v>0</v>
      </c>
      <c r="AF132" t="n">
        <f>M132*S132</f>
        <v>0</v>
      </c>
      <c r="AG132" t="n">
        <f>N132*S132</f>
        <v>0</v>
      </c>
      <c r="AH132" t="n">
        <f>O132*S132</f>
        <v>0</v>
      </c>
      <c r="AI132" t="n">
        <f>P132*S132</f>
        <v>0</v>
      </c>
      <c r="AJ132" t="n">
        <f>Q132*S132</f>
        <v>0</v>
      </c>
      <c r="AK132" t="n">
        <f>E132*V132</f>
        <v>0</v>
      </c>
      <c r="AL132" t="n">
        <f>F132*V132</f>
        <v>0</v>
      </c>
      <c r="AM132" t="n">
        <f>G132*V132</f>
        <v>0</v>
      </c>
      <c r="AN132" t="n">
        <f>H132*V132</f>
        <v>0</v>
      </c>
      <c r="AO132" t="n">
        <f>I132*V132</f>
        <v>0</v>
      </c>
      <c r="AP132" t="n">
        <f>J132*V132</f>
        <v>0</v>
      </c>
      <c r="AQ132" t="n">
        <f>K132*V132</f>
        <v>0</v>
      </c>
      <c r="AR132" t="n">
        <f>L132*V132</f>
        <v>0</v>
      </c>
      <c r="AS132" t="n">
        <f>M132*V132</f>
        <v>0</v>
      </c>
      <c r="AT132" t="n">
        <f>N132*V132</f>
        <v>0</v>
      </c>
      <c r="AU132" t="n">
        <f>O132*V132</f>
        <v>0</v>
      </c>
      <c r="AV132" t="n">
        <f>P132*V132</f>
        <v>0</v>
      </c>
      <c r="AW132" t="n">
        <f>Q132*V132</f>
        <v>0</v>
      </c>
      <c r="AX132" t="n">
        <f>E132*W132</f>
        <v>0</v>
      </c>
      <c r="AY132" t="n">
        <f>F132*W132</f>
        <v>0</v>
      </c>
      <c r="AZ132" t="n">
        <f>G132*W132</f>
        <v>0</v>
      </c>
      <c r="BA132" t="n">
        <f>H132*W132</f>
        <v>0</v>
      </c>
      <c r="BB132" t="n">
        <f>I132*W132</f>
        <v>0</v>
      </c>
      <c r="BC132" t="n">
        <f>J132*W132</f>
        <v>0</v>
      </c>
      <c r="BD132" t="n">
        <f>K132*W132</f>
        <v>0</v>
      </c>
      <c r="BE132" t="n">
        <f>L132*W132</f>
        <v>0</v>
      </c>
      <c r="BF132" t="n">
        <f>M132*W132</f>
        <v>0</v>
      </c>
      <c r="BG132" t="n">
        <f>N132*W132</f>
        <v>0</v>
      </c>
      <c r="BH132" t="n">
        <f>O132*W132</f>
        <v>0</v>
      </c>
      <c r="BI132" t="n">
        <f>P132*W132</f>
        <v>0</v>
      </c>
      <c r="BJ132" t="n">
        <f>Q132*W132</f>
        <v>0</v>
      </c>
    </row>
    <row r="133">
      <c r="A133" t="n">
        <f>Charges!A133</f>
        <v>0</v>
      </c>
      <c r="B133" t="n">
        <f>Charges!C133</f>
        <v>0</v>
      </c>
      <c r="C133" t="str">
        <f>Charges!D133</f>
        <v/>
      </c>
      <c r="E133" t="n">
        <f>IF(1&lt;=Paramètres!$B$9,MAX(0,IFERROR(N(IF(ISNUMBER(Charges!F133),MAX(0,Charges!F133),IFERROR(VLOOKUP(Charges!F133,Paramètres!$A$15:$B$18,2,FALSE),0))),0)),0)</f>
        <v>0</v>
      </c>
      <c r="F133" t="n">
        <f>IF(2&lt;=Paramètres!$B$9,MAX(0,IFERROR(N(IF(ISNUMBER(Charges!G133),MAX(0,Charges!G133),IFERROR(VLOOKUP(Charges!G133,Paramètres!$A$15:$B$18,2,FALSE),0))),0)),0)</f>
        <v>0</v>
      </c>
      <c r="G133" t="n">
        <f>IF(3&lt;=Paramètres!$B$9,MAX(0,IFERROR(N(IF(ISNUMBER(Charges!H133),MAX(0,Charges!H133),IFERROR(VLOOKUP(Charges!H133,Paramètres!$A$15:$B$18,2,FALSE),0))),0)),0)</f>
        <v>0</v>
      </c>
      <c r="H133" t="n">
        <f>IF(4&lt;=Paramètres!$B$9,MAX(0,IFERROR(N(IF(ISNUMBER(Charges!I133),MAX(0,Charges!I133),IFERROR(VLOOKUP(Charges!I133,Paramètres!$A$15:$B$18,2,FALSE),0))),0)),0)</f>
        <v>0</v>
      </c>
      <c r="I133" t="n">
        <f>IF(5&lt;=Paramètres!$B$9,MAX(0,IFERROR(N(IF(ISNUMBER(Charges!J133),MAX(0,Charges!J133),IFERROR(VLOOKUP(Charges!J133,Paramètres!$A$15:$B$18,2,FALSE),0))),0)),0)</f>
        <v>0</v>
      </c>
      <c r="J133" t="n">
        <f>IF(6&lt;=Paramètres!$B$9,MAX(0,IFERROR(N(IF(ISNUMBER(Charges!K133),MAX(0,Charges!K133),IFERROR(VLOOKUP(Charges!K133,Paramètres!$A$15:$B$18,2,FALSE),0))),0)),0)</f>
        <v>0</v>
      </c>
      <c r="K133" t="n">
        <f>IF(7&lt;=Paramètres!$B$9,MAX(0,IFERROR(N(IF(ISNUMBER(Charges!L133),MAX(0,Charges!L133),IFERROR(VLOOKUP(Charges!L133,Paramètres!$A$15:$B$18,2,FALSE),0))),0)),0)</f>
        <v>0</v>
      </c>
      <c r="L133" t="n">
        <f>IF(8&lt;=Paramètres!$B$9,MAX(0,IFERROR(N(IF(ISNUMBER(Charges!M133),MAX(0,Charges!M133),IFERROR(VLOOKUP(Charges!M133,Paramètres!$A$15:$B$18,2,FALSE),0))),0)),0)</f>
        <v>0</v>
      </c>
      <c r="M133" t="n">
        <f>IF(9&lt;=Paramètres!$B$9,MAX(0,IFERROR(N(IF(ISNUMBER(Charges!N133),MAX(0,Charges!N133),IFERROR(VLOOKUP(Charges!N133,Paramètres!$A$15:$B$18,2,FALSE),0))),0)),0)</f>
        <v>0</v>
      </c>
      <c r="N133" t="n">
        <f>IF(10&lt;=Paramètres!$B$9,MAX(0,IFERROR(N(IF(ISNUMBER(Charges!O133),MAX(0,Charges!O133),IFERROR(VLOOKUP(Charges!O133,Paramètres!$A$15:$B$18,2,FALSE),0))),0)),0)</f>
        <v>0</v>
      </c>
      <c r="O133" t="n">
        <f>IF(11&lt;=Paramètres!$B$9,MAX(0,IFERROR(N(IF(ISNUMBER(Charges!P133),MAX(0,Charges!P133),IFERROR(VLOOKUP(Charges!P133,Paramètres!$A$15:$B$18,2,FALSE),0))),0)),0)</f>
        <v>0</v>
      </c>
      <c r="P133" t="n">
        <f>IF(12&lt;=Paramètres!$B$9,MAX(0,IFERROR(N(IF(ISNUMBER(Charges!Q133),MAX(0,Charges!Q133),IFERROR(VLOOKUP(Charges!Q133,Paramètres!$A$15:$B$18,2,FALSE),0))),0)),0)</f>
        <v>0</v>
      </c>
      <c r="Q133" t="n">
        <f>IF(13&lt;=Paramètres!$B$9,MAX(0,IFERROR(N(IF(ISNUMBER(Charges!R133),MAX(0,Charges!R133),IFERROR(VLOOKUP(Charges!R133,Paramètres!$A$15:$B$18,2,FALSE),0))),0)),0)</f>
        <v>0</v>
      </c>
      <c r="R133" t="n">
        <f>SUM(E133:Q133)</f>
        <v>0</v>
      </c>
      <c r="S133" t="n">
        <f>IF(IFERROR(VLOOKUP(A133,'Projets'!$A$8:$Z$67,7,FALSE),"")="Engager",1,0)</f>
        <v>0</v>
      </c>
      <c r="T133" t="n">
        <f>IF(OR(Charges!F133="",AND(ISNUMBER(Charges!F133),Charges!F133&gt;=0),Charges!F133="S",Charges!F133="M",Charges!F133="L",Charges!F133="XL"),0,1)+IF(OR(Charges!G133="",AND(ISNUMBER(Charges!G133),Charges!G133&gt;=0),Charges!G133="S",Charges!G133="M",Charges!G133="L",Charges!G133="XL"),0,1)+IF(OR(Charges!H133="",AND(ISNUMBER(Charges!H133),Charges!H133&gt;=0),Charges!H133="S",Charges!H133="M",Charges!H133="L",Charges!H133="XL"),0,1)+IF(OR(Charges!I133="",AND(ISNUMBER(Charges!I133),Charges!I133&gt;=0),Charges!I133="S",Charges!I133="M",Charges!I133="L",Charges!I133="XL"),0,1)+IF(OR(Charges!J133="",AND(ISNUMBER(Charges!J133),Charges!J133&gt;=0),Charges!J133="S",Charges!J133="M",Charges!J133="L",Charges!J133="XL"),0,1)+IF(OR(Charges!K133="",AND(ISNUMBER(Charges!K133),Charges!K133&gt;=0),Charges!K133="S",Charges!K133="M",Charges!K133="L",Charges!K133="XL"),0,1)+IF(OR(Charges!L133="",AND(ISNUMBER(Charges!L133),Charges!L133&gt;=0),Charges!L133="S",Charges!L133="M",Charges!L133="L",Charges!L133="XL"),0,1)+IF(OR(Charges!M133="",AND(ISNUMBER(Charges!M133),Charges!M133&gt;=0),Charges!M133="S",Charges!M133="M",Charges!M133="L",Charges!M133="XL"),0,1)+IF(OR(Charges!N133="",AND(ISNUMBER(Charges!N133),Charges!N133&gt;=0),Charges!N133="S",Charges!N133="M",Charges!N133="L",Charges!N133="XL"),0,1)+IF(OR(Charges!O133="",AND(ISNUMBER(Charges!O133),Charges!O133&gt;=0),Charges!O133="S",Charges!O133="M",Charges!O133="L",Charges!O133="XL"),0,1)+IF(OR(Charges!P133="",AND(ISNUMBER(Charges!P133),Charges!P133&gt;=0),Charges!P133="S",Charges!P133="M",Charges!P133="L",Charges!P133="XL"),0,1)+IF(OR(Charges!Q133="",AND(ISNUMBER(Charges!Q133),Charges!Q133&gt;=0),Charges!Q133="S",Charges!Q133="M",Charges!Q133="L",Charges!Q133="XL"),0,1)+IF(OR(Charges!R133="",AND(ISNUMBER(Charges!R133),Charges!R133&gt;=0),Charges!R133="S",Charges!R133="M",Charges!R133="L",Charges!R133="XL"),0,1)</f>
        <v>0</v>
      </c>
      <c r="U133" t="n">
        <f>IF(AND(1&gt;Paramètres!$B$9,Charges!F133&lt;&gt;"",Charges!F133&lt;&gt;0),1,0)+IF(AND(2&gt;Paramètres!$B$9,Charges!G133&lt;&gt;"",Charges!G133&lt;&gt;0),1,0)+IF(AND(3&gt;Paramètres!$B$9,Charges!H133&lt;&gt;"",Charges!H133&lt;&gt;0),1,0)+IF(AND(4&gt;Paramètres!$B$9,Charges!I133&lt;&gt;"",Charges!I133&lt;&gt;0),1,0)+IF(AND(5&gt;Paramètres!$B$9,Charges!J133&lt;&gt;"",Charges!J133&lt;&gt;0),1,0)+IF(AND(6&gt;Paramètres!$B$9,Charges!K133&lt;&gt;"",Charges!K133&lt;&gt;0),1,0)+IF(AND(7&gt;Paramètres!$B$9,Charges!L133&lt;&gt;"",Charges!L133&lt;&gt;0),1,0)+IF(AND(8&gt;Paramètres!$B$9,Charges!M133&lt;&gt;"",Charges!M133&lt;&gt;0),1,0)+IF(AND(9&gt;Paramètres!$B$9,Charges!N133&lt;&gt;"",Charges!N133&lt;&gt;0),1,0)+IF(AND(10&gt;Paramètres!$B$9,Charges!O133&lt;&gt;"",Charges!O133&lt;&gt;0),1,0)+IF(AND(11&gt;Paramètres!$B$9,Charges!P133&lt;&gt;"",Charges!P133&lt;&gt;0),1,0)+IF(AND(12&gt;Paramètres!$B$9,Charges!Q133&lt;&gt;"",Charges!Q133&lt;&gt;0),1,0)+IF(AND(13&gt;Paramètres!$B$9,Charges!R133&lt;&gt;"",Charges!R133&lt;&gt;0),1,0)</f>
        <v>0</v>
      </c>
      <c r="V133" t="n">
        <f>IF(IFERROR(VLOOKUP(A133,'Projets'!$A$8:$Z$67,5,FALSE),"")="Engager",1,0)</f>
        <v>0</v>
      </c>
      <c r="W133" t="n">
        <f>IF(IFERROR(VLOOKUP(A133,'Projets'!$A$8:$Z$67,6,FALSE),"")="Engager",1,0)</f>
        <v>0</v>
      </c>
      <c r="X133" t="n">
        <f>E133*S133</f>
        <v>0</v>
      </c>
      <c r="Y133" t="n">
        <f>F133*S133</f>
        <v>0</v>
      </c>
      <c r="Z133" t="n">
        <f>G133*S133</f>
        <v>0</v>
      </c>
      <c r="AA133" t="n">
        <f>H133*S133</f>
        <v>0</v>
      </c>
      <c r="AB133" t="n">
        <f>I133*S133</f>
        <v>0</v>
      </c>
      <c r="AC133" t="n">
        <f>J133*S133</f>
        <v>0</v>
      </c>
      <c r="AD133" t="n">
        <f>K133*S133</f>
        <v>0</v>
      </c>
      <c r="AE133" t="n">
        <f>L133*S133</f>
        <v>0</v>
      </c>
      <c r="AF133" t="n">
        <f>M133*S133</f>
        <v>0</v>
      </c>
      <c r="AG133" t="n">
        <f>N133*S133</f>
        <v>0</v>
      </c>
      <c r="AH133" t="n">
        <f>O133*S133</f>
        <v>0</v>
      </c>
      <c r="AI133" t="n">
        <f>P133*S133</f>
        <v>0</v>
      </c>
      <c r="AJ133" t="n">
        <f>Q133*S133</f>
        <v>0</v>
      </c>
      <c r="AK133" t="n">
        <f>E133*V133</f>
        <v>0</v>
      </c>
      <c r="AL133" t="n">
        <f>F133*V133</f>
        <v>0</v>
      </c>
      <c r="AM133" t="n">
        <f>G133*V133</f>
        <v>0</v>
      </c>
      <c r="AN133" t="n">
        <f>H133*V133</f>
        <v>0</v>
      </c>
      <c r="AO133" t="n">
        <f>I133*V133</f>
        <v>0</v>
      </c>
      <c r="AP133" t="n">
        <f>J133*V133</f>
        <v>0</v>
      </c>
      <c r="AQ133" t="n">
        <f>K133*V133</f>
        <v>0</v>
      </c>
      <c r="AR133" t="n">
        <f>L133*V133</f>
        <v>0</v>
      </c>
      <c r="AS133" t="n">
        <f>M133*V133</f>
        <v>0</v>
      </c>
      <c r="AT133" t="n">
        <f>N133*V133</f>
        <v>0</v>
      </c>
      <c r="AU133" t="n">
        <f>O133*V133</f>
        <v>0</v>
      </c>
      <c r="AV133" t="n">
        <f>P133*V133</f>
        <v>0</v>
      </c>
      <c r="AW133" t="n">
        <f>Q133*V133</f>
        <v>0</v>
      </c>
      <c r="AX133" t="n">
        <f>E133*W133</f>
        <v>0</v>
      </c>
      <c r="AY133" t="n">
        <f>F133*W133</f>
        <v>0</v>
      </c>
      <c r="AZ133" t="n">
        <f>G133*W133</f>
        <v>0</v>
      </c>
      <c r="BA133" t="n">
        <f>H133*W133</f>
        <v>0</v>
      </c>
      <c r="BB133" t="n">
        <f>I133*W133</f>
        <v>0</v>
      </c>
      <c r="BC133" t="n">
        <f>J133*W133</f>
        <v>0</v>
      </c>
      <c r="BD133" t="n">
        <f>K133*W133</f>
        <v>0</v>
      </c>
      <c r="BE133" t="n">
        <f>L133*W133</f>
        <v>0</v>
      </c>
      <c r="BF133" t="n">
        <f>M133*W133</f>
        <v>0</v>
      </c>
      <c r="BG133" t="n">
        <f>N133*W133</f>
        <v>0</v>
      </c>
      <c r="BH133" t="n">
        <f>O133*W133</f>
        <v>0</v>
      </c>
      <c r="BI133" t="n">
        <f>P133*W133</f>
        <v>0</v>
      </c>
      <c r="BJ133" t="n">
        <f>Q133*W133</f>
        <v>0</v>
      </c>
    </row>
    <row r="134">
      <c r="A134" t="n">
        <f>Charges!A134</f>
        <v>0</v>
      </c>
      <c r="B134" t="n">
        <f>Charges!C134</f>
        <v>0</v>
      </c>
      <c r="C134" t="str">
        <f>Charges!D134</f>
        <v/>
      </c>
      <c r="E134" t="n">
        <f>IF(1&lt;=Paramètres!$B$9,MAX(0,IFERROR(N(IF(ISNUMBER(Charges!F134),MAX(0,Charges!F134),IFERROR(VLOOKUP(Charges!F134,Paramètres!$A$15:$B$18,2,FALSE),0))),0)),0)</f>
        <v>0</v>
      </c>
      <c r="F134" t="n">
        <f>IF(2&lt;=Paramètres!$B$9,MAX(0,IFERROR(N(IF(ISNUMBER(Charges!G134),MAX(0,Charges!G134),IFERROR(VLOOKUP(Charges!G134,Paramètres!$A$15:$B$18,2,FALSE),0))),0)),0)</f>
        <v>0</v>
      </c>
      <c r="G134" t="n">
        <f>IF(3&lt;=Paramètres!$B$9,MAX(0,IFERROR(N(IF(ISNUMBER(Charges!H134),MAX(0,Charges!H134),IFERROR(VLOOKUP(Charges!H134,Paramètres!$A$15:$B$18,2,FALSE),0))),0)),0)</f>
        <v>0</v>
      </c>
      <c r="H134" t="n">
        <f>IF(4&lt;=Paramètres!$B$9,MAX(0,IFERROR(N(IF(ISNUMBER(Charges!I134),MAX(0,Charges!I134),IFERROR(VLOOKUP(Charges!I134,Paramètres!$A$15:$B$18,2,FALSE),0))),0)),0)</f>
        <v>0</v>
      </c>
      <c r="I134" t="n">
        <f>IF(5&lt;=Paramètres!$B$9,MAX(0,IFERROR(N(IF(ISNUMBER(Charges!J134),MAX(0,Charges!J134),IFERROR(VLOOKUP(Charges!J134,Paramètres!$A$15:$B$18,2,FALSE),0))),0)),0)</f>
        <v>0</v>
      </c>
      <c r="J134" t="n">
        <f>IF(6&lt;=Paramètres!$B$9,MAX(0,IFERROR(N(IF(ISNUMBER(Charges!K134),MAX(0,Charges!K134),IFERROR(VLOOKUP(Charges!K134,Paramètres!$A$15:$B$18,2,FALSE),0))),0)),0)</f>
        <v>0</v>
      </c>
      <c r="K134" t="n">
        <f>IF(7&lt;=Paramètres!$B$9,MAX(0,IFERROR(N(IF(ISNUMBER(Charges!L134),MAX(0,Charges!L134),IFERROR(VLOOKUP(Charges!L134,Paramètres!$A$15:$B$18,2,FALSE),0))),0)),0)</f>
        <v>0</v>
      </c>
      <c r="L134" t="n">
        <f>IF(8&lt;=Paramètres!$B$9,MAX(0,IFERROR(N(IF(ISNUMBER(Charges!M134),MAX(0,Charges!M134),IFERROR(VLOOKUP(Charges!M134,Paramètres!$A$15:$B$18,2,FALSE),0))),0)),0)</f>
        <v>0</v>
      </c>
      <c r="M134" t="n">
        <f>IF(9&lt;=Paramètres!$B$9,MAX(0,IFERROR(N(IF(ISNUMBER(Charges!N134),MAX(0,Charges!N134),IFERROR(VLOOKUP(Charges!N134,Paramètres!$A$15:$B$18,2,FALSE),0))),0)),0)</f>
        <v>0</v>
      </c>
      <c r="N134" t="n">
        <f>IF(10&lt;=Paramètres!$B$9,MAX(0,IFERROR(N(IF(ISNUMBER(Charges!O134),MAX(0,Charges!O134),IFERROR(VLOOKUP(Charges!O134,Paramètres!$A$15:$B$18,2,FALSE),0))),0)),0)</f>
        <v>0</v>
      </c>
      <c r="O134" t="n">
        <f>IF(11&lt;=Paramètres!$B$9,MAX(0,IFERROR(N(IF(ISNUMBER(Charges!P134),MAX(0,Charges!P134),IFERROR(VLOOKUP(Charges!P134,Paramètres!$A$15:$B$18,2,FALSE),0))),0)),0)</f>
        <v>0</v>
      </c>
      <c r="P134" t="n">
        <f>IF(12&lt;=Paramètres!$B$9,MAX(0,IFERROR(N(IF(ISNUMBER(Charges!Q134),MAX(0,Charges!Q134),IFERROR(VLOOKUP(Charges!Q134,Paramètres!$A$15:$B$18,2,FALSE),0))),0)),0)</f>
        <v>0</v>
      </c>
      <c r="Q134" t="n">
        <f>IF(13&lt;=Paramètres!$B$9,MAX(0,IFERROR(N(IF(ISNUMBER(Charges!R134),MAX(0,Charges!R134),IFERROR(VLOOKUP(Charges!R134,Paramètres!$A$15:$B$18,2,FALSE),0))),0)),0)</f>
        <v>0</v>
      </c>
      <c r="R134" t="n">
        <f>SUM(E134:Q134)</f>
        <v>0</v>
      </c>
      <c r="S134" t="n">
        <f>IF(IFERROR(VLOOKUP(A134,'Projets'!$A$8:$Z$67,7,FALSE),"")="Engager",1,0)</f>
        <v>0</v>
      </c>
      <c r="T134" t="n">
        <f>IF(OR(Charges!F134="",AND(ISNUMBER(Charges!F134),Charges!F134&gt;=0),Charges!F134="S",Charges!F134="M",Charges!F134="L",Charges!F134="XL"),0,1)+IF(OR(Charges!G134="",AND(ISNUMBER(Charges!G134),Charges!G134&gt;=0),Charges!G134="S",Charges!G134="M",Charges!G134="L",Charges!G134="XL"),0,1)+IF(OR(Charges!H134="",AND(ISNUMBER(Charges!H134),Charges!H134&gt;=0),Charges!H134="S",Charges!H134="M",Charges!H134="L",Charges!H134="XL"),0,1)+IF(OR(Charges!I134="",AND(ISNUMBER(Charges!I134),Charges!I134&gt;=0),Charges!I134="S",Charges!I134="M",Charges!I134="L",Charges!I134="XL"),0,1)+IF(OR(Charges!J134="",AND(ISNUMBER(Charges!J134),Charges!J134&gt;=0),Charges!J134="S",Charges!J134="M",Charges!J134="L",Charges!J134="XL"),0,1)+IF(OR(Charges!K134="",AND(ISNUMBER(Charges!K134),Charges!K134&gt;=0),Charges!K134="S",Charges!K134="M",Charges!K134="L",Charges!K134="XL"),0,1)+IF(OR(Charges!L134="",AND(ISNUMBER(Charges!L134),Charges!L134&gt;=0),Charges!L134="S",Charges!L134="M",Charges!L134="L",Charges!L134="XL"),0,1)+IF(OR(Charges!M134="",AND(ISNUMBER(Charges!M134),Charges!M134&gt;=0),Charges!M134="S",Charges!M134="M",Charges!M134="L",Charges!M134="XL"),0,1)+IF(OR(Charges!N134="",AND(ISNUMBER(Charges!N134),Charges!N134&gt;=0),Charges!N134="S",Charges!N134="M",Charges!N134="L",Charges!N134="XL"),0,1)+IF(OR(Charges!O134="",AND(ISNUMBER(Charges!O134),Charges!O134&gt;=0),Charges!O134="S",Charges!O134="M",Charges!O134="L",Charges!O134="XL"),0,1)+IF(OR(Charges!P134="",AND(ISNUMBER(Charges!P134),Charges!P134&gt;=0),Charges!P134="S",Charges!P134="M",Charges!P134="L",Charges!P134="XL"),0,1)+IF(OR(Charges!Q134="",AND(ISNUMBER(Charges!Q134),Charges!Q134&gt;=0),Charges!Q134="S",Charges!Q134="M",Charges!Q134="L",Charges!Q134="XL"),0,1)+IF(OR(Charges!R134="",AND(ISNUMBER(Charges!R134),Charges!R134&gt;=0),Charges!R134="S",Charges!R134="M",Charges!R134="L",Charges!R134="XL"),0,1)</f>
        <v>0</v>
      </c>
      <c r="U134" t="n">
        <f>IF(AND(1&gt;Paramètres!$B$9,Charges!F134&lt;&gt;"",Charges!F134&lt;&gt;0),1,0)+IF(AND(2&gt;Paramètres!$B$9,Charges!G134&lt;&gt;"",Charges!G134&lt;&gt;0),1,0)+IF(AND(3&gt;Paramètres!$B$9,Charges!H134&lt;&gt;"",Charges!H134&lt;&gt;0),1,0)+IF(AND(4&gt;Paramètres!$B$9,Charges!I134&lt;&gt;"",Charges!I134&lt;&gt;0),1,0)+IF(AND(5&gt;Paramètres!$B$9,Charges!J134&lt;&gt;"",Charges!J134&lt;&gt;0),1,0)+IF(AND(6&gt;Paramètres!$B$9,Charges!K134&lt;&gt;"",Charges!K134&lt;&gt;0),1,0)+IF(AND(7&gt;Paramètres!$B$9,Charges!L134&lt;&gt;"",Charges!L134&lt;&gt;0),1,0)+IF(AND(8&gt;Paramètres!$B$9,Charges!M134&lt;&gt;"",Charges!M134&lt;&gt;0),1,0)+IF(AND(9&gt;Paramètres!$B$9,Charges!N134&lt;&gt;"",Charges!N134&lt;&gt;0),1,0)+IF(AND(10&gt;Paramètres!$B$9,Charges!O134&lt;&gt;"",Charges!O134&lt;&gt;0),1,0)+IF(AND(11&gt;Paramètres!$B$9,Charges!P134&lt;&gt;"",Charges!P134&lt;&gt;0),1,0)+IF(AND(12&gt;Paramètres!$B$9,Charges!Q134&lt;&gt;"",Charges!Q134&lt;&gt;0),1,0)+IF(AND(13&gt;Paramètres!$B$9,Charges!R134&lt;&gt;"",Charges!R134&lt;&gt;0),1,0)</f>
        <v>0</v>
      </c>
      <c r="V134" t="n">
        <f>IF(IFERROR(VLOOKUP(A134,'Projets'!$A$8:$Z$67,5,FALSE),"")="Engager",1,0)</f>
        <v>0</v>
      </c>
      <c r="W134" t="n">
        <f>IF(IFERROR(VLOOKUP(A134,'Projets'!$A$8:$Z$67,6,FALSE),"")="Engager",1,0)</f>
        <v>0</v>
      </c>
      <c r="X134" t="n">
        <f>E134*S134</f>
        <v>0</v>
      </c>
      <c r="Y134" t="n">
        <f>F134*S134</f>
        <v>0</v>
      </c>
      <c r="Z134" t="n">
        <f>G134*S134</f>
        <v>0</v>
      </c>
      <c r="AA134" t="n">
        <f>H134*S134</f>
        <v>0</v>
      </c>
      <c r="AB134" t="n">
        <f>I134*S134</f>
        <v>0</v>
      </c>
      <c r="AC134" t="n">
        <f>J134*S134</f>
        <v>0</v>
      </c>
      <c r="AD134" t="n">
        <f>K134*S134</f>
        <v>0</v>
      </c>
      <c r="AE134" t="n">
        <f>L134*S134</f>
        <v>0</v>
      </c>
      <c r="AF134" t="n">
        <f>M134*S134</f>
        <v>0</v>
      </c>
      <c r="AG134" t="n">
        <f>N134*S134</f>
        <v>0</v>
      </c>
      <c r="AH134" t="n">
        <f>O134*S134</f>
        <v>0</v>
      </c>
      <c r="AI134" t="n">
        <f>P134*S134</f>
        <v>0</v>
      </c>
      <c r="AJ134" t="n">
        <f>Q134*S134</f>
        <v>0</v>
      </c>
      <c r="AK134" t="n">
        <f>E134*V134</f>
        <v>0</v>
      </c>
      <c r="AL134" t="n">
        <f>F134*V134</f>
        <v>0</v>
      </c>
      <c r="AM134" t="n">
        <f>G134*V134</f>
        <v>0</v>
      </c>
      <c r="AN134" t="n">
        <f>H134*V134</f>
        <v>0</v>
      </c>
      <c r="AO134" t="n">
        <f>I134*V134</f>
        <v>0</v>
      </c>
      <c r="AP134" t="n">
        <f>J134*V134</f>
        <v>0</v>
      </c>
      <c r="AQ134" t="n">
        <f>K134*V134</f>
        <v>0</v>
      </c>
      <c r="AR134" t="n">
        <f>L134*V134</f>
        <v>0</v>
      </c>
      <c r="AS134" t="n">
        <f>M134*V134</f>
        <v>0</v>
      </c>
      <c r="AT134" t="n">
        <f>N134*V134</f>
        <v>0</v>
      </c>
      <c r="AU134" t="n">
        <f>O134*V134</f>
        <v>0</v>
      </c>
      <c r="AV134" t="n">
        <f>P134*V134</f>
        <v>0</v>
      </c>
      <c r="AW134" t="n">
        <f>Q134*V134</f>
        <v>0</v>
      </c>
      <c r="AX134" t="n">
        <f>E134*W134</f>
        <v>0</v>
      </c>
      <c r="AY134" t="n">
        <f>F134*W134</f>
        <v>0</v>
      </c>
      <c r="AZ134" t="n">
        <f>G134*W134</f>
        <v>0</v>
      </c>
      <c r="BA134" t="n">
        <f>H134*W134</f>
        <v>0</v>
      </c>
      <c r="BB134" t="n">
        <f>I134*W134</f>
        <v>0</v>
      </c>
      <c r="BC134" t="n">
        <f>J134*W134</f>
        <v>0</v>
      </c>
      <c r="BD134" t="n">
        <f>K134*W134</f>
        <v>0</v>
      </c>
      <c r="BE134" t="n">
        <f>L134*W134</f>
        <v>0</v>
      </c>
      <c r="BF134" t="n">
        <f>M134*W134</f>
        <v>0</v>
      </c>
      <c r="BG134" t="n">
        <f>N134*W134</f>
        <v>0</v>
      </c>
      <c r="BH134" t="n">
        <f>O134*W134</f>
        <v>0</v>
      </c>
      <c r="BI134" t="n">
        <f>P134*W134</f>
        <v>0</v>
      </c>
      <c r="BJ134" t="n">
        <f>Q134*W134</f>
        <v>0</v>
      </c>
    </row>
    <row r="135">
      <c r="A135" t="n">
        <f>Charges!A135</f>
        <v>0</v>
      </c>
      <c r="B135" t="n">
        <f>Charges!C135</f>
        <v>0</v>
      </c>
      <c r="C135" t="str">
        <f>Charges!D135</f>
        <v/>
      </c>
      <c r="E135" t="n">
        <f>IF(1&lt;=Paramètres!$B$9,MAX(0,IFERROR(N(IF(ISNUMBER(Charges!F135),MAX(0,Charges!F135),IFERROR(VLOOKUP(Charges!F135,Paramètres!$A$15:$B$18,2,FALSE),0))),0)),0)</f>
        <v>0</v>
      </c>
      <c r="F135" t="n">
        <f>IF(2&lt;=Paramètres!$B$9,MAX(0,IFERROR(N(IF(ISNUMBER(Charges!G135),MAX(0,Charges!G135),IFERROR(VLOOKUP(Charges!G135,Paramètres!$A$15:$B$18,2,FALSE),0))),0)),0)</f>
        <v>0</v>
      </c>
      <c r="G135" t="n">
        <f>IF(3&lt;=Paramètres!$B$9,MAX(0,IFERROR(N(IF(ISNUMBER(Charges!H135),MAX(0,Charges!H135),IFERROR(VLOOKUP(Charges!H135,Paramètres!$A$15:$B$18,2,FALSE),0))),0)),0)</f>
        <v>0</v>
      </c>
      <c r="H135" t="n">
        <f>IF(4&lt;=Paramètres!$B$9,MAX(0,IFERROR(N(IF(ISNUMBER(Charges!I135),MAX(0,Charges!I135),IFERROR(VLOOKUP(Charges!I135,Paramètres!$A$15:$B$18,2,FALSE),0))),0)),0)</f>
        <v>0</v>
      </c>
      <c r="I135" t="n">
        <f>IF(5&lt;=Paramètres!$B$9,MAX(0,IFERROR(N(IF(ISNUMBER(Charges!J135),MAX(0,Charges!J135),IFERROR(VLOOKUP(Charges!J135,Paramètres!$A$15:$B$18,2,FALSE),0))),0)),0)</f>
        <v>0</v>
      </c>
      <c r="J135" t="n">
        <f>IF(6&lt;=Paramètres!$B$9,MAX(0,IFERROR(N(IF(ISNUMBER(Charges!K135),MAX(0,Charges!K135),IFERROR(VLOOKUP(Charges!K135,Paramètres!$A$15:$B$18,2,FALSE),0))),0)),0)</f>
        <v>0</v>
      </c>
      <c r="K135" t="n">
        <f>IF(7&lt;=Paramètres!$B$9,MAX(0,IFERROR(N(IF(ISNUMBER(Charges!L135),MAX(0,Charges!L135),IFERROR(VLOOKUP(Charges!L135,Paramètres!$A$15:$B$18,2,FALSE),0))),0)),0)</f>
        <v>0</v>
      </c>
      <c r="L135" t="n">
        <f>IF(8&lt;=Paramètres!$B$9,MAX(0,IFERROR(N(IF(ISNUMBER(Charges!M135),MAX(0,Charges!M135),IFERROR(VLOOKUP(Charges!M135,Paramètres!$A$15:$B$18,2,FALSE),0))),0)),0)</f>
        <v>0</v>
      </c>
      <c r="M135" t="n">
        <f>IF(9&lt;=Paramètres!$B$9,MAX(0,IFERROR(N(IF(ISNUMBER(Charges!N135),MAX(0,Charges!N135),IFERROR(VLOOKUP(Charges!N135,Paramètres!$A$15:$B$18,2,FALSE),0))),0)),0)</f>
        <v>0</v>
      </c>
      <c r="N135" t="n">
        <f>IF(10&lt;=Paramètres!$B$9,MAX(0,IFERROR(N(IF(ISNUMBER(Charges!O135),MAX(0,Charges!O135),IFERROR(VLOOKUP(Charges!O135,Paramètres!$A$15:$B$18,2,FALSE),0))),0)),0)</f>
        <v>0</v>
      </c>
      <c r="O135" t="n">
        <f>IF(11&lt;=Paramètres!$B$9,MAX(0,IFERROR(N(IF(ISNUMBER(Charges!P135),MAX(0,Charges!P135),IFERROR(VLOOKUP(Charges!P135,Paramètres!$A$15:$B$18,2,FALSE),0))),0)),0)</f>
        <v>0</v>
      </c>
      <c r="P135" t="n">
        <f>IF(12&lt;=Paramètres!$B$9,MAX(0,IFERROR(N(IF(ISNUMBER(Charges!Q135),MAX(0,Charges!Q135),IFERROR(VLOOKUP(Charges!Q135,Paramètres!$A$15:$B$18,2,FALSE),0))),0)),0)</f>
        <v>0</v>
      </c>
      <c r="Q135" t="n">
        <f>IF(13&lt;=Paramètres!$B$9,MAX(0,IFERROR(N(IF(ISNUMBER(Charges!R135),MAX(0,Charges!R135),IFERROR(VLOOKUP(Charges!R135,Paramètres!$A$15:$B$18,2,FALSE),0))),0)),0)</f>
        <v>0</v>
      </c>
      <c r="R135" t="n">
        <f>SUM(E135:Q135)</f>
        <v>0</v>
      </c>
      <c r="S135" t="n">
        <f>IF(IFERROR(VLOOKUP(A135,'Projets'!$A$8:$Z$67,7,FALSE),"")="Engager",1,0)</f>
        <v>0</v>
      </c>
      <c r="T135" t="n">
        <f>IF(OR(Charges!F135="",AND(ISNUMBER(Charges!F135),Charges!F135&gt;=0),Charges!F135="S",Charges!F135="M",Charges!F135="L",Charges!F135="XL"),0,1)+IF(OR(Charges!G135="",AND(ISNUMBER(Charges!G135),Charges!G135&gt;=0),Charges!G135="S",Charges!G135="M",Charges!G135="L",Charges!G135="XL"),0,1)+IF(OR(Charges!H135="",AND(ISNUMBER(Charges!H135),Charges!H135&gt;=0),Charges!H135="S",Charges!H135="M",Charges!H135="L",Charges!H135="XL"),0,1)+IF(OR(Charges!I135="",AND(ISNUMBER(Charges!I135),Charges!I135&gt;=0),Charges!I135="S",Charges!I135="M",Charges!I135="L",Charges!I135="XL"),0,1)+IF(OR(Charges!J135="",AND(ISNUMBER(Charges!J135),Charges!J135&gt;=0),Charges!J135="S",Charges!J135="M",Charges!J135="L",Charges!J135="XL"),0,1)+IF(OR(Charges!K135="",AND(ISNUMBER(Charges!K135),Charges!K135&gt;=0),Charges!K135="S",Charges!K135="M",Charges!K135="L",Charges!K135="XL"),0,1)+IF(OR(Charges!L135="",AND(ISNUMBER(Charges!L135),Charges!L135&gt;=0),Charges!L135="S",Charges!L135="M",Charges!L135="L",Charges!L135="XL"),0,1)+IF(OR(Charges!M135="",AND(ISNUMBER(Charges!M135),Charges!M135&gt;=0),Charges!M135="S",Charges!M135="M",Charges!M135="L",Charges!M135="XL"),0,1)+IF(OR(Charges!N135="",AND(ISNUMBER(Charges!N135),Charges!N135&gt;=0),Charges!N135="S",Charges!N135="M",Charges!N135="L",Charges!N135="XL"),0,1)+IF(OR(Charges!O135="",AND(ISNUMBER(Charges!O135),Charges!O135&gt;=0),Charges!O135="S",Charges!O135="M",Charges!O135="L",Charges!O135="XL"),0,1)+IF(OR(Charges!P135="",AND(ISNUMBER(Charges!P135),Charges!P135&gt;=0),Charges!P135="S",Charges!P135="M",Charges!P135="L",Charges!P135="XL"),0,1)+IF(OR(Charges!Q135="",AND(ISNUMBER(Charges!Q135),Charges!Q135&gt;=0),Charges!Q135="S",Charges!Q135="M",Charges!Q135="L",Charges!Q135="XL"),0,1)+IF(OR(Charges!R135="",AND(ISNUMBER(Charges!R135),Charges!R135&gt;=0),Charges!R135="S",Charges!R135="M",Charges!R135="L",Charges!R135="XL"),0,1)</f>
        <v>0</v>
      </c>
      <c r="U135" t="n">
        <f>IF(AND(1&gt;Paramètres!$B$9,Charges!F135&lt;&gt;"",Charges!F135&lt;&gt;0),1,0)+IF(AND(2&gt;Paramètres!$B$9,Charges!G135&lt;&gt;"",Charges!G135&lt;&gt;0),1,0)+IF(AND(3&gt;Paramètres!$B$9,Charges!H135&lt;&gt;"",Charges!H135&lt;&gt;0),1,0)+IF(AND(4&gt;Paramètres!$B$9,Charges!I135&lt;&gt;"",Charges!I135&lt;&gt;0),1,0)+IF(AND(5&gt;Paramètres!$B$9,Charges!J135&lt;&gt;"",Charges!J135&lt;&gt;0),1,0)+IF(AND(6&gt;Paramètres!$B$9,Charges!K135&lt;&gt;"",Charges!K135&lt;&gt;0),1,0)+IF(AND(7&gt;Paramètres!$B$9,Charges!L135&lt;&gt;"",Charges!L135&lt;&gt;0),1,0)+IF(AND(8&gt;Paramètres!$B$9,Charges!M135&lt;&gt;"",Charges!M135&lt;&gt;0),1,0)+IF(AND(9&gt;Paramètres!$B$9,Charges!N135&lt;&gt;"",Charges!N135&lt;&gt;0),1,0)+IF(AND(10&gt;Paramètres!$B$9,Charges!O135&lt;&gt;"",Charges!O135&lt;&gt;0),1,0)+IF(AND(11&gt;Paramètres!$B$9,Charges!P135&lt;&gt;"",Charges!P135&lt;&gt;0),1,0)+IF(AND(12&gt;Paramètres!$B$9,Charges!Q135&lt;&gt;"",Charges!Q135&lt;&gt;0),1,0)+IF(AND(13&gt;Paramètres!$B$9,Charges!R135&lt;&gt;"",Charges!R135&lt;&gt;0),1,0)</f>
        <v>0</v>
      </c>
      <c r="V135" t="n">
        <f>IF(IFERROR(VLOOKUP(A135,'Projets'!$A$8:$Z$67,5,FALSE),"")="Engager",1,0)</f>
        <v>0</v>
      </c>
      <c r="W135" t="n">
        <f>IF(IFERROR(VLOOKUP(A135,'Projets'!$A$8:$Z$67,6,FALSE),"")="Engager",1,0)</f>
        <v>0</v>
      </c>
      <c r="X135" t="n">
        <f>E135*S135</f>
        <v>0</v>
      </c>
      <c r="Y135" t="n">
        <f>F135*S135</f>
        <v>0</v>
      </c>
      <c r="Z135" t="n">
        <f>G135*S135</f>
        <v>0</v>
      </c>
      <c r="AA135" t="n">
        <f>H135*S135</f>
        <v>0</v>
      </c>
      <c r="AB135" t="n">
        <f>I135*S135</f>
        <v>0</v>
      </c>
      <c r="AC135" t="n">
        <f>J135*S135</f>
        <v>0</v>
      </c>
      <c r="AD135" t="n">
        <f>K135*S135</f>
        <v>0</v>
      </c>
      <c r="AE135" t="n">
        <f>L135*S135</f>
        <v>0</v>
      </c>
      <c r="AF135" t="n">
        <f>M135*S135</f>
        <v>0</v>
      </c>
      <c r="AG135" t="n">
        <f>N135*S135</f>
        <v>0</v>
      </c>
      <c r="AH135" t="n">
        <f>O135*S135</f>
        <v>0</v>
      </c>
      <c r="AI135" t="n">
        <f>P135*S135</f>
        <v>0</v>
      </c>
      <c r="AJ135" t="n">
        <f>Q135*S135</f>
        <v>0</v>
      </c>
      <c r="AK135" t="n">
        <f>E135*V135</f>
        <v>0</v>
      </c>
      <c r="AL135" t="n">
        <f>F135*V135</f>
        <v>0</v>
      </c>
      <c r="AM135" t="n">
        <f>G135*V135</f>
        <v>0</v>
      </c>
      <c r="AN135" t="n">
        <f>H135*V135</f>
        <v>0</v>
      </c>
      <c r="AO135" t="n">
        <f>I135*V135</f>
        <v>0</v>
      </c>
      <c r="AP135" t="n">
        <f>J135*V135</f>
        <v>0</v>
      </c>
      <c r="AQ135" t="n">
        <f>K135*V135</f>
        <v>0</v>
      </c>
      <c r="AR135" t="n">
        <f>L135*V135</f>
        <v>0</v>
      </c>
      <c r="AS135" t="n">
        <f>M135*V135</f>
        <v>0</v>
      </c>
      <c r="AT135" t="n">
        <f>N135*V135</f>
        <v>0</v>
      </c>
      <c r="AU135" t="n">
        <f>O135*V135</f>
        <v>0</v>
      </c>
      <c r="AV135" t="n">
        <f>P135*V135</f>
        <v>0</v>
      </c>
      <c r="AW135" t="n">
        <f>Q135*V135</f>
        <v>0</v>
      </c>
      <c r="AX135" t="n">
        <f>E135*W135</f>
        <v>0</v>
      </c>
      <c r="AY135" t="n">
        <f>F135*W135</f>
        <v>0</v>
      </c>
      <c r="AZ135" t="n">
        <f>G135*W135</f>
        <v>0</v>
      </c>
      <c r="BA135" t="n">
        <f>H135*W135</f>
        <v>0</v>
      </c>
      <c r="BB135" t="n">
        <f>I135*W135</f>
        <v>0</v>
      </c>
      <c r="BC135" t="n">
        <f>J135*W135</f>
        <v>0</v>
      </c>
      <c r="BD135" t="n">
        <f>K135*W135</f>
        <v>0</v>
      </c>
      <c r="BE135" t="n">
        <f>L135*W135</f>
        <v>0</v>
      </c>
      <c r="BF135" t="n">
        <f>M135*W135</f>
        <v>0</v>
      </c>
      <c r="BG135" t="n">
        <f>N135*W135</f>
        <v>0</v>
      </c>
      <c r="BH135" t="n">
        <f>O135*W135</f>
        <v>0</v>
      </c>
      <c r="BI135" t="n">
        <f>P135*W135</f>
        <v>0</v>
      </c>
      <c r="BJ135" t="n">
        <f>Q135*W135</f>
        <v>0</v>
      </c>
    </row>
    <row r="136">
      <c r="A136" t="n">
        <f>Charges!A136</f>
        <v>0</v>
      </c>
      <c r="B136" t="n">
        <f>Charges!C136</f>
        <v>0</v>
      </c>
      <c r="C136" t="str">
        <f>Charges!D136</f>
        <v/>
      </c>
      <c r="E136" t="n">
        <f>IF(1&lt;=Paramètres!$B$9,MAX(0,IFERROR(N(IF(ISNUMBER(Charges!F136),MAX(0,Charges!F136),IFERROR(VLOOKUP(Charges!F136,Paramètres!$A$15:$B$18,2,FALSE),0))),0)),0)</f>
        <v>0</v>
      </c>
      <c r="F136" t="n">
        <f>IF(2&lt;=Paramètres!$B$9,MAX(0,IFERROR(N(IF(ISNUMBER(Charges!G136),MAX(0,Charges!G136),IFERROR(VLOOKUP(Charges!G136,Paramètres!$A$15:$B$18,2,FALSE),0))),0)),0)</f>
        <v>0</v>
      </c>
      <c r="G136" t="n">
        <f>IF(3&lt;=Paramètres!$B$9,MAX(0,IFERROR(N(IF(ISNUMBER(Charges!H136),MAX(0,Charges!H136),IFERROR(VLOOKUP(Charges!H136,Paramètres!$A$15:$B$18,2,FALSE),0))),0)),0)</f>
        <v>0</v>
      </c>
      <c r="H136" t="n">
        <f>IF(4&lt;=Paramètres!$B$9,MAX(0,IFERROR(N(IF(ISNUMBER(Charges!I136),MAX(0,Charges!I136),IFERROR(VLOOKUP(Charges!I136,Paramètres!$A$15:$B$18,2,FALSE),0))),0)),0)</f>
        <v>0</v>
      </c>
      <c r="I136" t="n">
        <f>IF(5&lt;=Paramètres!$B$9,MAX(0,IFERROR(N(IF(ISNUMBER(Charges!J136),MAX(0,Charges!J136),IFERROR(VLOOKUP(Charges!J136,Paramètres!$A$15:$B$18,2,FALSE),0))),0)),0)</f>
        <v>0</v>
      </c>
      <c r="J136" t="n">
        <f>IF(6&lt;=Paramètres!$B$9,MAX(0,IFERROR(N(IF(ISNUMBER(Charges!K136),MAX(0,Charges!K136),IFERROR(VLOOKUP(Charges!K136,Paramètres!$A$15:$B$18,2,FALSE),0))),0)),0)</f>
        <v>0</v>
      </c>
      <c r="K136" t="n">
        <f>IF(7&lt;=Paramètres!$B$9,MAX(0,IFERROR(N(IF(ISNUMBER(Charges!L136),MAX(0,Charges!L136),IFERROR(VLOOKUP(Charges!L136,Paramètres!$A$15:$B$18,2,FALSE),0))),0)),0)</f>
        <v>0</v>
      </c>
      <c r="L136" t="n">
        <f>IF(8&lt;=Paramètres!$B$9,MAX(0,IFERROR(N(IF(ISNUMBER(Charges!M136),MAX(0,Charges!M136),IFERROR(VLOOKUP(Charges!M136,Paramètres!$A$15:$B$18,2,FALSE),0))),0)),0)</f>
        <v>0</v>
      </c>
      <c r="M136" t="n">
        <f>IF(9&lt;=Paramètres!$B$9,MAX(0,IFERROR(N(IF(ISNUMBER(Charges!N136),MAX(0,Charges!N136),IFERROR(VLOOKUP(Charges!N136,Paramètres!$A$15:$B$18,2,FALSE),0))),0)),0)</f>
        <v>0</v>
      </c>
      <c r="N136" t="n">
        <f>IF(10&lt;=Paramètres!$B$9,MAX(0,IFERROR(N(IF(ISNUMBER(Charges!O136),MAX(0,Charges!O136),IFERROR(VLOOKUP(Charges!O136,Paramètres!$A$15:$B$18,2,FALSE),0))),0)),0)</f>
        <v>0</v>
      </c>
      <c r="O136" t="n">
        <f>IF(11&lt;=Paramètres!$B$9,MAX(0,IFERROR(N(IF(ISNUMBER(Charges!P136),MAX(0,Charges!P136),IFERROR(VLOOKUP(Charges!P136,Paramètres!$A$15:$B$18,2,FALSE),0))),0)),0)</f>
        <v>0</v>
      </c>
      <c r="P136" t="n">
        <f>IF(12&lt;=Paramètres!$B$9,MAX(0,IFERROR(N(IF(ISNUMBER(Charges!Q136),MAX(0,Charges!Q136),IFERROR(VLOOKUP(Charges!Q136,Paramètres!$A$15:$B$18,2,FALSE),0))),0)),0)</f>
        <v>0</v>
      </c>
      <c r="Q136" t="n">
        <f>IF(13&lt;=Paramètres!$B$9,MAX(0,IFERROR(N(IF(ISNUMBER(Charges!R136),MAX(0,Charges!R136),IFERROR(VLOOKUP(Charges!R136,Paramètres!$A$15:$B$18,2,FALSE),0))),0)),0)</f>
        <v>0</v>
      </c>
      <c r="R136" t="n">
        <f>SUM(E136:Q136)</f>
        <v>0</v>
      </c>
      <c r="S136" t="n">
        <f>IF(IFERROR(VLOOKUP(A136,'Projets'!$A$8:$Z$67,7,FALSE),"")="Engager",1,0)</f>
        <v>0</v>
      </c>
      <c r="T136" t="n">
        <f>IF(OR(Charges!F136="",AND(ISNUMBER(Charges!F136),Charges!F136&gt;=0),Charges!F136="S",Charges!F136="M",Charges!F136="L",Charges!F136="XL"),0,1)+IF(OR(Charges!G136="",AND(ISNUMBER(Charges!G136),Charges!G136&gt;=0),Charges!G136="S",Charges!G136="M",Charges!G136="L",Charges!G136="XL"),0,1)+IF(OR(Charges!H136="",AND(ISNUMBER(Charges!H136),Charges!H136&gt;=0),Charges!H136="S",Charges!H136="M",Charges!H136="L",Charges!H136="XL"),0,1)+IF(OR(Charges!I136="",AND(ISNUMBER(Charges!I136),Charges!I136&gt;=0),Charges!I136="S",Charges!I136="M",Charges!I136="L",Charges!I136="XL"),0,1)+IF(OR(Charges!J136="",AND(ISNUMBER(Charges!J136),Charges!J136&gt;=0),Charges!J136="S",Charges!J136="M",Charges!J136="L",Charges!J136="XL"),0,1)+IF(OR(Charges!K136="",AND(ISNUMBER(Charges!K136),Charges!K136&gt;=0),Charges!K136="S",Charges!K136="M",Charges!K136="L",Charges!K136="XL"),0,1)+IF(OR(Charges!L136="",AND(ISNUMBER(Charges!L136),Charges!L136&gt;=0),Charges!L136="S",Charges!L136="M",Charges!L136="L",Charges!L136="XL"),0,1)+IF(OR(Charges!M136="",AND(ISNUMBER(Charges!M136),Charges!M136&gt;=0),Charges!M136="S",Charges!M136="M",Charges!M136="L",Charges!M136="XL"),0,1)+IF(OR(Charges!N136="",AND(ISNUMBER(Charges!N136),Charges!N136&gt;=0),Charges!N136="S",Charges!N136="M",Charges!N136="L",Charges!N136="XL"),0,1)+IF(OR(Charges!O136="",AND(ISNUMBER(Charges!O136),Charges!O136&gt;=0),Charges!O136="S",Charges!O136="M",Charges!O136="L",Charges!O136="XL"),0,1)+IF(OR(Charges!P136="",AND(ISNUMBER(Charges!P136),Charges!P136&gt;=0),Charges!P136="S",Charges!P136="M",Charges!P136="L",Charges!P136="XL"),0,1)+IF(OR(Charges!Q136="",AND(ISNUMBER(Charges!Q136),Charges!Q136&gt;=0),Charges!Q136="S",Charges!Q136="M",Charges!Q136="L",Charges!Q136="XL"),0,1)+IF(OR(Charges!R136="",AND(ISNUMBER(Charges!R136),Charges!R136&gt;=0),Charges!R136="S",Charges!R136="M",Charges!R136="L",Charges!R136="XL"),0,1)</f>
        <v>0</v>
      </c>
      <c r="U136" t="n">
        <f>IF(AND(1&gt;Paramètres!$B$9,Charges!F136&lt;&gt;"",Charges!F136&lt;&gt;0),1,0)+IF(AND(2&gt;Paramètres!$B$9,Charges!G136&lt;&gt;"",Charges!G136&lt;&gt;0),1,0)+IF(AND(3&gt;Paramètres!$B$9,Charges!H136&lt;&gt;"",Charges!H136&lt;&gt;0),1,0)+IF(AND(4&gt;Paramètres!$B$9,Charges!I136&lt;&gt;"",Charges!I136&lt;&gt;0),1,0)+IF(AND(5&gt;Paramètres!$B$9,Charges!J136&lt;&gt;"",Charges!J136&lt;&gt;0),1,0)+IF(AND(6&gt;Paramètres!$B$9,Charges!K136&lt;&gt;"",Charges!K136&lt;&gt;0),1,0)+IF(AND(7&gt;Paramètres!$B$9,Charges!L136&lt;&gt;"",Charges!L136&lt;&gt;0),1,0)+IF(AND(8&gt;Paramètres!$B$9,Charges!M136&lt;&gt;"",Charges!M136&lt;&gt;0),1,0)+IF(AND(9&gt;Paramètres!$B$9,Charges!N136&lt;&gt;"",Charges!N136&lt;&gt;0),1,0)+IF(AND(10&gt;Paramètres!$B$9,Charges!O136&lt;&gt;"",Charges!O136&lt;&gt;0),1,0)+IF(AND(11&gt;Paramètres!$B$9,Charges!P136&lt;&gt;"",Charges!P136&lt;&gt;0),1,0)+IF(AND(12&gt;Paramètres!$B$9,Charges!Q136&lt;&gt;"",Charges!Q136&lt;&gt;0),1,0)+IF(AND(13&gt;Paramètres!$B$9,Charges!R136&lt;&gt;"",Charges!R136&lt;&gt;0),1,0)</f>
        <v>0</v>
      </c>
      <c r="V136" t="n">
        <f>IF(IFERROR(VLOOKUP(A136,'Projets'!$A$8:$Z$67,5,FALSE),"")="Engager",1,0)</f>
        <v>0</v>
      </c>
      <c r="W136" t="n">
        <f>IF(IFERROR(VLOOKUP(A136,'Projets'!$A$8:$Z$67,6,FALSE),"")="Engager",1,0)</f>
        <v>0</v>
      </c>
      <c r="X136" t="n">
        <f>E136*S136</f>
        <v>0</v>
      </c>
      <c r="Y136" t="n">
        <f>F136*S136</f>
        <v>0</v>
      </c>
      <c r="Z136" t="n">
        <f>G136*S136</f>
        <v>0</v>
      </c>
      <c r="AA136" t="n">
        <f>H136*S136</f>
        <v>0</v>
      </c>
      <c r="AB136" t="n">
        <f>I136*S136</f>
        <v>0</v>
      </c>
      <c r="AC136" t="n">
        <f>J136*S136</f>
        <v>0</v>
      </c>
      <c r="AD136" t="n">
        <f>K136*S136</f>
        <v>0</v>
      </c>
      <c r="AE136" t="n">
        <f>L136*S136</f>
        <v>0</v>
      </c>
      <c r="AF136" t="n">
        <f>M136*S136</f>
        <v>0</v>
      </c>
      <c r="AG136" t="n">
        <f>N136*S136</f>
        <v>0</v>
      </c>
      <c r="AH136" t="n">
        <f>O136*S136</f>
        <v>0</v>
      </c>
      <c r="AI136" t="n">
        <f>P136*S136</f>
        <v>0</v>
      </c>
      <c r="AJ136" t="n">
        <f>Q136*S136</f>
        <v>0</v>
      </c>
      <c r="AK136" t="n">
        <f>E136*V136</f>
        <v>0</v>
      </c>
      <c r="AL136" t="n">
        <f>F136*V136</f>
        <v>0</v>
      </c>
      <c r="AM136" t="n">
        <f>G136*V136</f>
        <v>0</v>
      </c>
      <c r="AN136" t="n">
        <f>H136*V136</f>
        <v>0</v>
      </c>
      <c r="AO136" t="n">
        <f>I136*V136</f>
        <v>0</v>
      </c>
      <c r="AP136" t="n">
        <f>J136*V136</f>
        <v>0</v>
      </c>
      <c r="AQ136" t="n">
        <f>K136*V136</f>
        <v>0</v>
      </c>
      <c r="AR136" t="n">
        <f>L136*V136</f>
        <v>0</v>
      </c>
      <c r="AS136" t="n">
        <f>M136*V136</f>
        <v>0</v>
      </c>
      <c r="AT136" t="n">
        <f>N136*V136</f>
        <v>0</v>
      </c>
      <c r="AU136" t="n">
        <f>O136*V136</f>
        <v>0</v>
      </c>
      <c r="AV136" t="n">
        <f>P136*V136</f>
        <v>0</v>
      </c>
      <c r="AW136" t="n">
        <f>Q136*V136</f>
        <v>0</v>
      </c>
      <c r="AX136" t="n">
        <f>E136*W136</f>
        <v>0</v>
      </c>
      <c r="AY136" t="n">
        <f>F136*W136</f>
        <v>0</v>
      </c>
      <c r="AZ136" t="n">
        <f>G136*W136</f>
        <v>0</v>
      </c>
      <c r="BA136" t="n">
        <f>H136*W136</f>
        <v>0</v>
      </c>
      <c r="BB136" t="n">
        <f>I136*W136</f>
        <v>0</v>
      </c>
      <c r="BC136" t="n">
        <f>J136*W136</f>
        <v>0</v>
      </c>
      <c r="BD136" t="n">
        <f>K136*W136</f>
        <v>0</v>
      </c>
      <c r="BE136" t="n">
        <f>L136*W136</f>
        <v>0</v>
      </c>
      <c r="BF136" t="n">
        <f>M136*W136</f>
        <v>0</v>
      </c>
      <c r="BG136" t="n">
        <f>N136*W136</f>
        <v>0</v>
      </c>
      <c r="BH136" t="n">
        <f>O136*W136</f>
        <v>0</v>
      </c>
      <c r="BI136" t="n">
        <f>P136*W136</f>
        <v>0</v>
      </c>
      <c r="BJ136" t="n">
        <f>Q136*W136</f>
        <v>0</v>
      </c>
    </row>
    <row r="137">
      <c r="A137" t="n">
        <f>Charges!A137</f>
        <v>0</v>
      </c>
      <c r="B137" t="n">
        <f>Charges!C137</f>
        <v>0</v>
      </c>
      <c r="C137" t="str">
        <f>Charges!D137</f>
        <v/>
      </c>
      <c r="E137" t="n">
        <f>IF(1&lt;=Paramètres!$B$9,MAX(0,IFERROR(N(IF(ISNUMBER(Charges!F137),MAX(0,Charges!F137),IFERROR(VLOOKUP(Charges!F137,Paramètres!$A$15:$B$18,2,FALSE),0))),0)),0)</f>
        <v>0</v>
      </c>
      <c r="F137" t="n">
        <f>IF(2&lt;=Paramètres!$B$9,MAX(0,IFERROR(N(IF(ISNUMBER(Charges!G137),MAX(0,Charges!G137),IFERROR(VLOOKUP(Charges!G137,Paramètres!$A$15:$B$18,2,FALSE),0))),0)),0)</f>
        <v>0</v>
      </c>
      <c r="G137" t="n">
        <f>IF(3&lt;=Paramètres!$B$9,MAX(0,IFERROR(N(IF(ISNUMBER(Charges!H137),MAX(0,Charges!H137),IFERROR(VLOOKUP(Charges!H137,Paramètres!$A$15:$B$18,2,FALSE),0))),0)),0)</f>
        <v>0</v>
      </c>
      <c r="H137" t="n">
        <f>IF(4&lt;=Paramètres!$B$9,MAX(0,IFERROR(N(IF(ISNUMBER(Charges!I137),MAX(0,Charges!I137),IFERROR(VLOOKUP(Charges!I137,Paramètres!$A$15:$B$18,2,FALSE),0))),0)),0)</f>
        <v>0</v>
      </c>
      <c r="I137" t="n">
        <f>IF(5&lt;=Paramètres!$B$9,MAX(0,IFERROR(N(IF(ISNUMBER(Charges!J137),MAX(0,Charges!J137),IFERROR(VLOOKUP(Charges!J137,Paramètres!$A$15:$B$18,2,FALSE),0))),0)),0)</f>
        <v>0</v>
      </c>
      <c r="J137" t="n">
        <f>IF(6&lt;=Paramètres!$B$9,MAX(0,IFERROR(N(IF(ISNUMBER(Charges!K137),MAX(0,Charges!K137),IFERROR(VLOOKUP(Charges!K137,Paramètres!$A$15:$B$18,2,FALSE),0))),0)),0)</f>
        <v>0</v>
      </c>
      <c r="K137" t="n">
        <f>IF(7&lt;=Paramètres!$B$9,MAX(0,IFERROR(N(IF(ISNUMBER(Charges!L137),MAX(0,Charges!L137),IFERROR(VLOOKUP(Charges!L137,Paramètres!$A$15:$B$18,2,FALSE),0))),0)),0)</f>
        <v>0</v>
      </c>
      <c r="L137" t="n">
        <f>IF(8&lt;=Paramètres!$B$9,MAX(0,IFERROR(N(IF(ISNUMBER(Charges!M137),MAX(0,Charges!M137),IFERROR(VLOOKUP(Charges!M137,Paramètres!$A$15:$B$18,2,FALSE),0))),0)),0)</f>
        <v>0</v>
      </c>
      <c r="M137" t="n">
        <f>IF(9&lt;=Paramètres!$B$9,MAX(0,IFERROR(N(IF(ISNUMBER(Charges!N137),MAX(0,Charges!N137),IFERROR(VLOOKUP(Charges!N137,Paramètres!$A$15:$B$18,2,FALSE),0))),0)),0)</f>
        <v>0</v>
      </c>
      <c r="N137" t="n">
        <f>IF(10&lt;=Paramètres!$B$9,MAX(0,IFERROR(N(IF(ISNUMBER(Charges!O137),MAX(0,Charges!O137),IFERROR(VLOOKUP(Charges!O137,Paramètres!$A$15:$B$18,2,FALSE),0))),0)),0)</f>
        <v>0</v>
      </c>
      <c r="O137" t="n">
        <f>IF(11&lt;=Paramètres!$B$9,MAX(0,IFERROR(N(IF(ISNUMBER(Charges!P137),MAX(0,Charges!P137),IFERROR(VLOOKUP(Charges!P137,Paramètres!$A$15:$B$18,2,FALSE),0))),0)),0)</f>
        <v>0</v>
      </c>
      <c r="P137" t="n">
        <f>IF(12&lt;=Paramètres!$B$9,MAX(0,IFERROR(N(IF(ISNUMBER(Charges!Q137),MAX(0,Charges!Q137),IFERROR(VLOOKUP(Charges!Q137,Paramètres!$A$15:$B$18,2,FALSE),0))),0)),0)</f>
        <v>0</v>
      </c>
      <c r="Q137" t="n">
        <f>IF(13&lt;=Paramètres!$B$9,MAX(0,IFERROR(N(IF(ISNUMBER(Charges!R137),MAX(0,Charges!R137),IFERROR(VLOOKUP(Charges!R137,Paramètres!$A$15:$B$18,2,FALSE),0))),0)),0)</f>
        <v>0</v>
      </c>
      <c r="R137" t="n">
        <f>SUM(E137:Q137)</f>
        <v>0</v>
      </c>
      <c r="S137" t="n">
        <f>IF(IFERROR(VLOOKUP(A137,'Projets'!$A$8:$Z$67,7,FALSE),"")="Engager",1,0)</f>
        <v>0</v>
      </c>
      <c r="T137" t="n">
        <f>IF(OR(Charges!F137="",AND(ISNUMBER(Charges!F137),Charges!F137&gt;=0),Charges!F137="S",Charges!F137="M",Charges!F137="L",Charges!F137="XL"),0,1)+IF(OR(Charges!G137="",AND(ISNUMBER(Charges!G137),Charges!G137&gt;=0),Charges!G137="S",Charges!G137="M",Charges!G137="L",Charges!G137="XL"),0,1)+IF(OR(Charges!H137="",AND(ISNUMBER(Charges!H137),Charges!H137&gt;=0),Charges!H137="S",Charges!H137="M",Charges!H137="L",Charges!H137="XL"),0,1)+IF(OR(Charges!I137="",AND(ISNUMBER(Charges!I137),Charges!I137&gt;=0),Charges!I137="S",Charges!I137="M",Charges!I137="L",Charges!I137="XL"),0,1)+IF(OR(Charges!J137="",AND(ISNUMBER(Charges!J137),Charges!J137&gt;=0),Charges!J137="S",Charges!J137="M",Charges!J137="L",Charges!J137="XL"),0,1)+IF(OR(Charges!K137="",AND(ISNUMBER(Charges!K137),Charges!K137&gt;=0),Charges!K137="S",Charges!K137="M",Charges!K137="L",Charges!K137="XL"),0,1)+IF(OR(Charges!L137="",AND(ISNUMBER(Charges!L137),Charges!L137&gt;=0),Charges!L137="S",Charges!L137="M",Charges!L137="L",Charges!L137="XL"),0,1)+IF(OR(Charges!M137="",AND(ISNUMBER(Charges!M137),Charges!M137&gt;=0),Charges!M137="S",Charges!M137="M",Charges!M137="L",Charges!M137="XL"),0,1)+IF(OR(Charges!N137="",AND(ISNUMBER(Charges!N137),Charges!N137&gt;=0),Charges!N137="S",Charges!N137="M",Charges!N137="L",Charges!N137="XL"),0,1)+IF(OR(Charges!O137="",AND(ISNUMBER(Charges!O137),Charges!O137&gt;=0),Charges!O137="S",Charges!O137="M",Charges!O137="L",Charges!O137="XL"),0,1)+IF(OR(Charges!P137="",AND(ISNUMBER(Charges!P137),Charges!P137&gt;=0),Charges!P137="S",Charges!P137="M",Charges!P137="L",Charges!P137="XL"),0,1)+IF(OR(Charges!Q137="",AND(ISNUMBER(Charges!Q137),Charges!Q137&gt;=0),Charges!Q137="S",Charges!Q137="M",Charges!Q137="L",Charges!Q137="XL"),0,1)+IF(OR(Charges!R137="",AND(ISNUMBER(Charges!R137),Charges!R137&gt;=0),Charges!R137="S",Charges!R137="M",Charges!R137="L",Charges!R137="XL"),0,1)</f>
        <v>0</v>
      </c>
      <c r="U137" t="n">
        <f>IF(AND(1&gt;Paramètres!$B$9,Charges!F137&lt;&gt;"",Charges!F137&lt;&gt;0),1,0)+IF(AND(2&gt;Paramètres!$B$9,Charges!G137&lt;&gt;"",Charges!G137&lt;&gt;0),1,0)+IF(AND(3&gt;Paramètres!$B$9,Charges!H137&lt;&gt;"",Charges!H137&lt;&gt;0),1,0)+IF(AND(4&gt;Paramètres!$B$9,Charges!I137&lt;&gt;"",Charges!I137&lt;&gt;0),1,0)+IF(AND(5&gt;Paramètres!$B$9,Charges!J137&lt;&gt;"",Charges!J137&lt;&gt;0),1,0)+IF(AND(6&gt;Paramètres!$B$9,Charges!K137&lt;&gt;"",Charges!K137&lt;&gt;0),1,0)+IF(AND(7&gt;Paramètres!$B$9,Charges!L137&lt;&gt;"",Charges!L137&lt;&gt;0),1,0)+IF(AND(8&gt;Paramètres!$B$9,Charges!M137&lt;&gt;"",Charges!M137&lt;&gt;0),1,0)+IF(AND(9&gt;Paramètres!$B$9,Charges!N137&lt;&gt;"",Charges!N137&lt;&gt;0),1,0)+IF(AND(10&gt;Paramètres!$B$9,Charges!O137&lt;&gt;"",Charges!O137&lt;&gt;0),1,0)+IF(AND(11&gt;Paramètres!$B$9,Charges!P137&lt;&gt;"",Charges!P137&lt;&gt;0),1,0)+IF(AND(12&gt;Paramètres!$B$9,Charges!Q137&lt;&gt;"",Charges!Q137&lt;&gt;0),1,0)+IF(AND(13&gt;Paramètres!$B$9,Charges!R137&lt;&gt;"",Charges!R137&lt;&gt;0),1,0)</f>
        <v>0</v>
      </c>
      <c r="V137" t="n">
        <f>IF(IFERROR(VLOOKUP(A137,'Projets'!$A$8:$Z$67,5,FALSE),"")="Engager",1,0)</f>
        <v>0</v>
      </c>
      <c r="W137" t="n">
        <f>IF(IFERROR(VLOOKUP(A137,'Projets'!$A$8:$Z$67,6,FALSE),"")="Engager",1,0)</f>
        <v>0</v>
      </c>
      <c r="X137" t="n">
        <f>E137*S137</f>
        <v>0</v>
      </c>
      <c r="Y137" t="n">
        <f>F137*S137</f>
        <v>0</v>
      </c>
      <c r="Z137" t="n">
        <f>G137*S137</f>
        <v>0</v>
      </c>
      <c r="AA137" t="n">
        <f>H137*S137</f>
        <v>0</v>
      </c>
      <c r="AB137" t="n">
        <f>I137*S137</f>
        <v>0</v>
      </c>
      <c r="AC137" t="n">
        <f>J137*S137</f>
        <v>0</v>
      </c>
      <c r="AD137" t="n">
        <f>K137*S137</f>
        <v>0</v>
      </c>
      <c r="AE137" t="n">
        <f>L137*S137</f>
        <v>0</v>
      </c>
      <c r="AF137" t="n">
        <f>M137*S137</f>
        <v>0</v>
      </c>
      <c r="AG137" t="n">
        <f>N137*S137</f>
        <v>0</v>
      </c>
      <c r="AH137" t="n">
        <f>O137*S137</f>
        <v>0</v>
      </c>
      <c r="AI137" t="n">
        <f>P137*S137</f>
        <v>0</v>
      </c>
      <c r="AJ137" t="n">
        <f>Q137*S137</f>
        <v>0</v>
      </c>
      <c r="AK137" t="n">
        <f>E137*V137</f>
        <v>0</v>
      </c>
      <c r="AL137" t="n">
        <f>F137*V137</f>
        <v>0</v>
      </c>
      <c r="AM137" t="n">
        <f>G137*V137</f>
        <v>0</v>
      </c>
      <c r="AN137" t="n">
        <f>H137*V137</f>
        <v>0</v>
      </c>
      <c r="AO137" t="n">
        <f>I137*V137</f>
        <v>0</v>
      </c>
      <c r="AP137" t="n">
        <f>J137*V137</f>
        <v>0</v>
      </c>
      <c r="AQ137" t="n">
        <f>K137*V137</f>
        <v>0</v>
      </c>
      <c r="AR137" t="n">
        <f>L137*V137</f>
        <v>0</v>
      </c>
      <c r="AS137" t="n">
        <f>M137*V137</f>
        <v>0</v>
      </c>
      <c r="AT137" t="n">
        <f>N137*V137</f>
        <v>0</v>
      </c>
      <c r="AU137" t="n">
        <f>O137*V137</f>
        <v>0</v>
      </c>
      <c r="AV137" t="n">
        <f>P137*V137</f>
        <v>0</v>
      </c>
      <c r="AW137" t="n">
        <f>Q137*V137</f>
        <v>0</v>
      </c>
      <c r="AX137" t="n">
        <f>E137*W137</f>
        <v>0</v>
      </c>
      <c r="AY137" t="n">
        <f>F137*W137</f>
        <v>0</v>
      </c>
      <c r="AZ137" t="n">
        <f>G137*W137</f>
        <v>0</v>
      </c>
      <c r="BA137" t="n">
        <f>H137*W137</f>
        <v>0</v>
      </c>
      <c r="BB137" t="n">
        <f>I137*W137</f>
        <v>0</v>
      </c>
      <c r="BC137" t="n">
        <f>J137*W137</f>
        <v>0</v>
      </c>
      <c r="BD137" t="n">
        <f>K137*W137</f>
        <v>0</v>
      </c>
      <c r="BE137" t="n">
        <f>L137*W137</f>
        <v>0</v>
      </c>
      <c r="BF137" t="n">
        <f>M137*W137</f>
        <v>0</v>
      </c>
      <c r="BG137" t="n">
        <f>N137*W137</f>
        <v>0</v>
      </c>
      <c r="BH137" t="n">
        <f>O137*W137</f>
        <v>0</v>
      </c>
      <c r="BI137" t="n">
        <f>P137*W137</f>
        <v>0</v>
      </c>
      <c r="BJ137" t="n">
        <f>Q137*W137</f>
        <v>0</v>
      </c>
    </row>
    <row r="138">
      <c r="A138" t="n">
        <f>Charges!A138</f>
        <v>0</v>
      </c>
      <c r="B138" t="n">
        <f>Charges!C138</f>
        <v>0</v>
      </c>
      <c r="C138" t="str">
        <f>Charges!D138</f>
        <v/>
      </c>
      <c r="E138" t="n">
        <f>IF(1&lt;=Paramètres!$B$9,MAX(0,IFERROR(N(IF(ISNUMBER(Charges!F138),MAX(0,Charges!F138),IFERROR(VLOOKUP(Charges!F138,Paramètres!$A$15:$B$18,2,FALSE),0))),0)),0)</f>
        <v>0</v>
      </c>
      <c r="F138" t="n">
        <f>IF(2&lt;=Paramètres!$B$9,MAX(0,IFERROR(N(IF(ISNUMBER(Charges!G138),MAX(0,Charges!G138),IFERROR(VLOOKUP(Charges!G138,Paramètres!$A$15:$B$18,2,FALSE),0))),0)),0)</f>
        <v>0</v>
      </c>
      <c r="G138" t="n">
        <f>IF(3&lt;=Paramètres!$B$9,MAX(0,IFERROR(N(IF(ISNUMBER(Charges!H138),MAX(0,Charges!H138),IFERROR(VLOOKUP(Charges!H138,Paramètres!$A$15:$B$18,2,FALSE),0))),0)),0)</f>
        <v>0</v>
      </c>
      <c r="H138" t="n">
        <f>IF(4&lt;=Paramètres!$B$9,MAX(0,IFERROR(N(IF(ISNUMBER(Charges!I138),MAX(0,Charges!I138),IFERROR(VLOOKUP(Charges!I138,Paramètres!$A$15:$B$18,2,FALSE),0))),0)),0)</f>
        <v>0</v>
      </c>
      <c r="I138" t="n">
        <f>IF(5&lt;=Paramètres!$B$9,MAX(0,IFERROR(N(IF(ISNUMBER(Charges!J138),MAX(0,Charges!J138),IFERROR(VLOOKUP(Charges!J138,Paramètres!$A$15:$B$18,2,FALSE),0))),0)),0)</f>
        <v>0</v>
      </c>
      <c r="J138" t="n">
        <f>IF(6&lt;=Paramètres!$B$9,MAX(0,IFERROR(N(IF(ISNUMBER(Charges!K138),MAX(0,Charges!K138),IFERROR(VLOOKUP(Charges!K138,Paramètres!$A$15:$B$18,2,FALSE),0))),0)),0)</f>
        <v>0</v>
      </c>
      <c r="K138" t="n">
        <f>IF(7&lt;=Paramètres!$B$9,MAX(0,IFERROR(N(IF(ISNUMBER(Charges!L138),MAX(0,Charges!L138),IFERROR(VLOOKUP(Charges!L138,Paramètres!$A$15:$B$18,2,FALSE),0))),0)),0)</f>
        <v>0</v>
      </c>
      <c r="L138" t="n">
        <f>IF(8&lt;=Paramètres!$B$9,MAX(0,IFERROR(N(IF(ISNUMBER(Charges!M138),MAX(0,Charges!M138),IFERROR(VLOOKUP(Charges!M138,Paramètres!$A$15:$B$18,2,FALSE),0))),0)),0)</f>
        <v>0</v>
      </c>
      <c r="M138" t="n">
        <f>IF(9&lt;=Paramètres!$B$9,MAX(0,IFERROR(N(IF(ISNUMBER(Charges!N138),MAX(0,Charges!N138),IFERROR(VLOOKUP(Charges!N138,Paramètres!$A$15:$B$18,2,FALSE),0))),0)),0)</f>
        <v>0</v>
      </c>
      <c r="N138" t="n">
        <f>IF(10&lt;=Paramètres!$B$9,MAX(0,IFERROR(N(IF(ISNUMBER(Charges!O138),MAX(0,Charges!O138),IFERROR(VLOOKUP(Charges!O138,Paramètres!$A$15:$B$18,2,FALSE),0))),0)),0)</f>
        <v>0</v>
      </c>
      <c r="O138" t="n">
        <f>IF(11&lt;=Paramètres!$B$9,MAX(0,IFERROR(N(IF(ISNUMBER(Charges!P138),MAX(0,Charges!P138),IFERROR(VLOOKUP(Charges!P138,Paramètres!$A$15:$B$18,2,FALSE),0))),0)),0)</f>
        <v>0</v>
      </c>
      <c r="P138" t="n">
        <f>IF(12&lt;=Paramètres!$B$9,MAX(0,IFERROR(N(IF(ISNUMBER(Charges!Q138),MAX(0,Charges!Q138),IFERROR(VLOOKUP(Charges!Q138,Paramètres!$A$15:$B$18,2,FALSE),0))),0)),0)</f>
        <v>0</v>
      </c>
      <c r="Q138" t="n">
        <f>IF(13&lt;=Paramètres!$B$9,MAX(0,IFERROR(N(IF(ISNUMBER(Charges!R138),MAX(0,Charges!R138),IFERROR(VLOOKUP(Charges!R138,Paramètres!$A$15:$B$18,2,FALSE),0))),0)),0)</f>
        <v>0</v>
      </c>
      <c r="R138" t="n">
        <f>SUM(E138:Q138)</f>
        <v>0</v>
      </c>
      <c r="S138" t="n">
        <f>IF(IFERROR(VLOOKUP(A138,'Projets'!$A$8:$Z$67,7,FALSE),"")="Engager",1,0)</f>
        <v>0</v>
      </c>
      <c r="T138" t="n">
        <f>IF(OR(Charges!F138="",AND(ISNUMBER(Charges!F138),Charges!F138&gt;=0),Charges!F138="S",Charges!F138="M",Charges!F138="L",Charges!F138="XL"),0,1)+IF(OR(Charges!G138="",AND(ISNUMBER(Charges!G138),Charges!G138&gt;=0),Charges!G138="S",Charges!G138="M",Charges!G138="L",Charges!G138="XL"),0,1)+IF(OR(Charges!H138="",AND(ISNUMBER(Charges!H138),Charges!H138&gt;=0),Charges!H138="S",Charges!H138="M",Charges!H138="L",Charges!H138="XL"),0,1)+IF(OR(Charges!I138="",AND(ISNUMBER(Charges!I138),Charges!I138&gt;=0),Charges!I138="S",Charges!I138="M",Charges!I138="L",Charges!I138="XL"),0,1)+IF(OR(Charges!J138="",AND(ISNUMBER(Charges!J138),Charges!J138&gt;=0),Charges!J138="S",Charges!J138="M",Charges!J138="L",Charges!J138="XL"),0,1)+IF(OR(Charges!K138="",AND(ISNUMBER(Charges!K138),Charges!K138&gt;=0),Charges!K138="S",Charges!K138="M",Charges!K138="L",Charges!K138="XL"),0,1)+IF(OR(Charges!L138="",AND(ISNUMBER(Charges!L138),Charges!L138&gt;=0),Charges!L138="S",Charges!L138="M",Charges!L138="L",Charges!L138="XL"),0,1)+IF(OR(Charges!M138="",AND(ISNUMBER(Charges!M138),Charges!M138&gt;=0),Charges!M138="S",Charges!M138="M",Charges!M138="L",Charges!M138="XL"),0,1)+IF(OR(Charges!N138="",AND(ISNUMBER(Charges!N138),Charges!N138&gt;=0),Charges!N138="S",Charges!N138="M",Charges!N138="L",Charges!N138="XL"),0,1)+IF(OR(Charges!O138="",AND(ISNUMBER(Charges!O138),Charges!O138&gt;=0),Charges!O138="S",Charges!O138="M",Charges!O138="L",Charges!O138="XL"),0,1)+IF(OR(Charges!P138="",AND(ISNUMBER(Charges!P138),Charges!P138&gt;=0),Charges!P138="S",Charges!P138="M",Charges!P138="L",Charges!P138="XL"),0,1)+IF(OR(Charges!Q138="",AND(ISNUMBER(Charges!Q138),Charges!Q138&gt;=0),Charges!Q138="S",Charges!Q138="M",Charges!Q138="L",Charges!Q138="XL"),0,1)+IF(OR(Charges!R138="",AND(ISNUMBER(Charges!R138),Charges!R138&gt;=0),Charges!R138="S",Charges!R138="M",Charges!R138="L",Charges!R138="XL"),0,1)</f>
        <v>0</v>
      </c>
      <c r="U138" t="n">
        <f>IF(AND(1&gt;Paramètres!$B$9,Charges!F138&lt;&gt;"",Charges!F138&lt;&gt;0),1,0)+IF(AND(2&gt;Paramètres!$B$9,Charges!G138&lt;&gt;"",Charges!G138&lt;&gt;0),1,0)+IF(AND(3&gt;Paramètres!$B$9,Charges!H138&lt;&gt;"",Charges!H138&lt;&gt;0),1,0)+IF(AND(4&gt;Paramètres!$B$9,Charges!I138&lt;&gt;"",Charges!I138&lt;&gt;0),1,0)+IF(AND(5&gt;Paramètres!$B$9,Charges!J138&lt;&gt;"",Charges!J138&lt;&gt;0),1,0)+IF(AND(6&gt;Paramètres!$B$9,Charges!K138&lt;&gt;"",Charges!K138&lt;&gt;0),1,0)+IF(AND(7&gt;Paramètres!$B$9,Charges!L138&lt;&gt;"",Charges!L138&lt;&gt;0),1,0)+IF(AND(8&gt;Paramètres!$B$9,Charges!M138&lt;&gt;"",Charges!M138&lt;&gt;0),1,0)+IF(AND(9&gt;Paramètres!$B$9,Charges!N138&lt;&gt;"",Charges!N138&lt;&gt;0),1,0)+IF(AND(10&gt;Paramètres!$B$9,Charges!O138&lt;&gt;"",Charges!O138&lt;&gt;0),1,0)+IF(AND(11&gt;Paramètres!$B$9,Charges!P138&lt;&gt;"",Charges!P138&lt;&gt;0),1,0)+IF(AND(12&gt;Paramètres!$B$9,Charges!Q138&lt;&gt;"",Charges!Q138&lt;&gt;0),1,0)+IF(AND(13&gt;Paramètres!$B$9,Charges!R138&lt;&gt;"",Charges!R138&lt;&gt;0),1,0)</f>
        <v>0</v>
      </c>
      <c r="V138" t="n">
        <f>IF(IFERROR(VLOOKUP(A138,'Projets'!$A$8:$Z$67,5,FALSE),"")="Engager",1,0)</f>
        <v>0</v>
      </c>
      <c r="W138" t="n">
        <f>IF(IFERROR(VLOOKUP(A138,'Projets'!$A$8:$Z$67,6,FALSE),"")="Engager",1,0)</f>
        <v>0</v>
      </c>
      <c r="X138" t="n">
        <f>E138*S138</f>
        <v>0</v>
      </c>
      <c r="Y138" t="n">
        <f>F138*S138</f>
        <v>0</v>
      </c>
      <c r="Z138" t="n">
        <f>G138*S138</f>
        <v>0</v>
      </c>
      <c r="AA138" t="n">
        <f>H138*S138</f>
        <v>0</v>
      </c>
      <c r="AB138" t="n">
        <f>I138*S138</f>
        <v>0</v>
      </c>
      <c r="AC138" t="n">
        <f>J138*S138</f>
        <v>0</v>
      </c>
      <c r="AD138" t="n">
        <f>K138*S138</f>
        <v>0</v>
      </c>
      <c r="AE138" t="n">
        <f>L138*S138</f>
        <v>0</v>
      </c>
      <c r="AF138" t="n">
        <f>M138*S138</f>
        <v>0</v>
      </c>
      <c r="AG138" t="n">
        <f>N138*S138</f>
        <v>0</v>
      </c>
      <c r="AH138" t="n">
        <f>O138*S138</f>
        <v>0</v>
      </c>
      <c r="AI138" t="n">
        <f>P138*S138</f>
        <v>0</v>
      </c>
      <c r="AJ138" t="n">
        <f>Q138*S138</f>
        <v>0</v>
      </c>
      <c r="AK138" t="n">
        <f>E138*V138</f>
        <v>0</v>
      </c>
      <c r="AL138" t="n">
        <f>F138*V138</f>
        <v>0</v>
      </c>
      <c r="AM138" t="n">
        <f>G138*V138</f>
        <v>0</v>
      </c>
      <c r="AN138" t="n">
        <f>H138*V138</f>
        <v>0</v>
      </c>
      <c r="AO138" t="n">
        <f>I138*V138</f>
        <v>0</v>
      </c>
      <c r="AP138" t="n">
        <f>J138*V138</f>
        <v>0</v>
      </c>
      <c r="AQ138" t="n">
        <f>K138*V138</f>
        <v>0</v>
      </c>
      <c r="AR138" t="n">
        <f>L138*V138</f>
        <v>0</v>
      </c>
      <c r="AS138" t="n">
        <f>M138*V138</f>
        <v>0</v>
      </c>
      <c r="AT138" t="n">
        <f>N138*V138</f>
        <v>0</v>
      </c>
      <c r="AU138" t="n">
        <f>O138*V138</f>
        <v>0</v>
      </c>
      <c r="AV138" t="n">
        <f>P138*V138</f>
        <v>0</v>
      </c>
      <c r="AW138" t="n">
        <f>Q138*V138</f>
        <v>0</v>
      </c>
      <c r="AX138" t="n">
        <f>E138*W138</f>
        <v>0</v>
      </c>
      <c r="AY138" t="n">
        <f>F138*W138</f>
        <v>0</v>
      </c>
      <c r="AZ138" t="n">
        <f>G138*W138</f>
        <v>0</v>
      </c>
      <c r="BA138" t="n">
        <f>H138*W138</f>
        <v>0</v>
      </c>
      <c r="BB138" t="n">
        <f>I138*W138</f>
        <v>0</v>
      </c>
      <c r="BC138" t="n">
        <f>J138*W138</f>
        <v>0</v>
      </c>
      <c r="BD138" t="n">
        <f>K138*W138</f>
        <v>0</v>
      </c>
      <c r="BE138" t="n">
        <f>L138*W138</f>
        <v>0</v>
      </c>
      <c r="BF138" t="n">
        <f>M138*W138</f>
        <v>0</v>
      </c>
      <c r="BG138" t="n">
        <f>N138*W138</f>
        <v>0</v>
      </c>
      <c r="BH138" t="n">
        <f>O138*W138</f>
        <v>0</v>
      </c>
      <c r="BI138" t="n">
        <f>P138*W138</f>
        <v>0</v>
      </c>
      <c r="BJ138" t="n">
        <f>Q138*W138</f>
        <v>0</v>
      </c>
    </row>
    <row r="139">
      <c r="A139" t="n">
        <f>Charges!A139</f>
        <v>0</v>
      </c>
      <c r="B139" t="n">
        <f>Charges!C139</f>
        <v>0</v>
      </c>
      <c r="C139" t="str">
        <f>Charges!D139</f>
        <v/>
      </c>
      <c r="E139" t="n">
        <f>IF(1&lt;=Paramètres!$B$9,MAX(0,IFERROR(N(IF(ISNUMBER(Charges!F139),MAX(0,Charges!F139),IFERROR(VLOOKUP(Charges!F139,Paramètres!$A$15:$B$18,2,FALSE),0))),0)),0)</f>
        <v>0</v>
      </c>
      <c r="F139" t="n">
        <f>IF(2&lt;=Paramètres!$B$9,MAX(0,IFERROR(N(IF(ISNUMBER(Charges!G139),MAX(0,Charges!G139),IFERROR(VLOOKUP(Charges!G139,Paramètres!$A$15:$B$18,2,FALSE),0))),0)),0)</f>
        <v>0</v>
      </c>
      <c r="G139" t="n">
        <f>IF(3&lt;=Paramètres!$B$9,MAX(0,IFERROR(N(IF(ISNUMBER(Charges!H139),MAX(0,Charges!H139),IFERROR(VLOOKUP(Charges!H139,Paramètres!$A$15:$B$18,2,FALSE),0))),0)),0)</f>
        <v>0</v>
      </c>
      <c r="H139" t="n">
        <f>IF(4&lt;=Paramètres!$B$9,MAX(0,IFERROR(N(IF(ISNUMBER(Charges!I139),MAX(0,Charges!I139),IFERROR(VLOOKUP(Charges!I139,Paramètres!$A$15:$B$18,2,FALSE),0))),0)),0)</f>
        <v>0</v>
      </c>
      <c r="I139" t="n">
        <f>IF(5&lt;=Paramètres!$B$9,MAX(0,IFERROR(N(IF(ISNUMBER(Charges!J139),MAX(0,Charges!J139),IFERROR(VLOOKUP(Charges!J139,Paramètres!$A$15:$B$18,2,FALSE),0))),0)),0)</f>
        <v>0</v>
      </c>
      <c r="J139" t="n">
        <f>IF(6&lt;=Paramètres!$B$9,MAX(0,IFERROR(N(IF(ISNUMBER(Charges!K139),MAX(0,Charges!K139),IFERROR(VLOOKUP(Charges!K139,Paramètres!$A$15:$B$18,2,FALSE),0))),0)),0)</f>
        <v>0</v>
      </c>
      <c r="K139" t="n">
        <f>IF(7&lt;=Paramètres!$B$9,MAX(0,IFERROR(N(IF(ISNUMBER(Charges!L139),MAX(0,Charges!L139),IFERROR(VLOOKUP(Charges!L139,Paramètres!$A$15:$B$18,2,FALSE),0))),0)),0)</f>
        <v>0</v>
      </c>
      <c r="L139" t="n">
        <f>IF(8&lt;=Paramètres!$B$9,MAX(0,IFERROR(N(IF(ISNUMBER(Charges!M139),MAX(0,Charges!M139),IFERROR(VLOOKUP(Charges!M139,Paramètres!$A$15:$B$18,2,FALSE),0))),0)),0)</f>
        <v>0</v>
      </c>
      <c r="M139" t="n">
        <f>IF(9&lt;=Paramètres!$B$9,MAX(0,IFERROR(N(IF(ISNUMBER(Charges!N139),MAX(0,Charges!N139),IFERROR(VLOOKUP(Charges!N139,Paramètres!$A$15:$B$18,2,FALSE),0))),0)),0)</f>
        <v>0</v>
      </c>
      <c r="N139" t="n">
        <f>IF(10&lt;=Paramètres!$B$9,MAX(0,IFERROR(N(IF(ISNUMBER(Charges!O139),MAX(0,Charges!O139),IFERROR(VLOOKUP(Charges!O139,Paramètres!$A$15:$B$18,2,FALSE),0))),0)),0)</f>
        <v>0</v>
      </c>
      <c r="O139" t="n">
        <f>IF(11&lt;=Paramètres!$B$9,MAX(0,IFERROR(N(IF(ISNUMBER(Charges!P139),MAX(0,Charges!P139),IFERROR(VLOOKUP(Charges!P139,Paramètres!$A$15:$B$18,2,FALSE),0))),0)),0)</f>
        <v>0</v>
      </c>
      <c r="P139" t="n">
        <f>IF(12&lt;=Paramètres!$B$9,MAX(0,IFERROR(N(IF(ISNUMBER(Charges!Q139),MAX(0,Charges!Q139),IFERROR(VLOOKUP(Charges!Q139,Paramètres!$A$15:$B$18,2,FALSE),0))),0)),0)</f>
        <v>0</v>
      </c>
      <c r="Q139" t="n">
        <f>IF(13&lt;=Paramètres!$B$9,MAX(0,IFERROR(N(IF(ISNUMBER(Charges!R139),MAX(0,Charges!R139),IFERROR(VLOOKUP(Charges!R139,Paramètres!$A$15:$B$18,2,FALSE),0))),0)),0)</f>
        <v>0</v>
      </c>
      <c r="R139" t="n">
        <f>SUM(E139:Q139)</f>
        <v>0</v>
      </c>
      <c r="S139" t="n">
        <f>IF(IFERROR(VLOOKUP(A139,'Projets'!$A$8:$Z$67,7,FALSE),"")="Engager",1,0)</f>
        <v>0</v>
      </c>
      <c r="T139" t="n">
        <f>IF(OR(Charges!F139="",AND(ISNUMBER(Charges!F139),Charges!F139&gt;=0),Charges!F139="S",Charges!F139="M",Charges!F139="L",Charges!F139="XL"),0,1)+IF(OR(Charges!G139="",AND(ISNUMBER(Charges!G139),Charges!G139&gt;=0),Charges!G139="S",Charges!G139="M",Charges!G139="L",Charges!G139="XL"),0,1)+IF(OR(Charges!H139="",AND(ISNUMBER(Charges!H139),Charges!H139&gt;=0),Charges!H139="S",Charges!H139="M",Charges!H139="L",Charges!H139="XL"),0,1)+IF(OR(Charges!I139="",AND(ISNUMBER(Charges!I139),Charges!I139&gt;=0),Charges!I139="S",Charges!I139="M",Charges!I139="L",Charges!I139="XL"),0,1)+IF(OR(Charges!J139="",AND(ISNUMBER(Charges!J139),Charges!J139&gt;=0),Charges!J139="S",Charges!J139="M",Charges!J139="L",Charges!J139="XL"),0,1)+IF(OR(Charges!K139="",AND(ISNUMBER(Charges!K139),Charges!K139&gt;=0),Charges!K139="S",Charges!K139="M",Charges!K139="L",Charges!K139="XL"),0,1)+IF(OR(Charges!L139="",AND(ISNUMBER(Charges!L139),Charges!L139&gt;=0),Charges!L139="S",Charges!L139="M",Charges!L139="L",Charges!L139="XL"),0,1)+IF(OR(Charges!M139="",AND(ISNUMBER(Charges!M139),Charges!M139&gt;=0),Charges!M139="S",Charges!M139="M",Charges!M139="L",Charges!M139="XL"),0,1)+IF(OR(Charges!N139="",AND(ISNUMBER(Charges!N139),Charges!N139&gt;=0),Charges!N139="S",Charges!N139="M",Charges!N139="L",Charges!N139="XL"),0,1)+IF(OR(Charges!O139="",AND(ISNUMBER(Charges!O139),Charges!O139&gt;=0),Charges!O139="S",Charges!O139="M",Charges!O139="L",Charges!O139="XL"),0,1)+IF(OR(Charges!P139="",AND(ISNUMBER(Charges!P139),Charges!P139&gt;=0),Charges!P139="S",Charges!P139="M",Charges!P139="L",Charges!P139="XL"),0,1)+IF(OR(Charges!Q139="",AND(ISNUMBER(Charges!Q139),Charges!Q139&gt;=0),Charges!Q139="S",Charges!Q139="M",Charges!Q139="L",Charges!Q139="XL"),0,1)+IF(OR(Charges!R139="",AND(ISNUMBER(Charges!R139),Charges!R139&gt;=0),Charges!R139="S",Charges!R139="M",Charges!R139="L",Charges!R139="XL"),0,1)</f>
        <v>0</v>
      </c>
      <c r="U139" t="n">
        <f>IF(AND(1&gt;Paramètres!$B$9,Charges!F139&lt;&gt;"",Charges!F139&lt;&gt;0),1,0)+IF(AND(2&gt;Paramètres!$B$9,Charges!G139&lt;&gt;"",Charges!G139&lt;&gt;0),1,0)+IF(AND(3&gt;Paramètres!$B$9,Charges!H139&lt;&gt;"",Charges!H139&lt;&gt;0),1,0)+IF(AND(4&gt;Paramètres!$B$9,Charges!I139&lt;&gt;"",Charges!I139&lt;&gt;0),1,0)+IF(AND(5&gt;Paramètres!$B$9,Charges!J139&lt;&gt;"",Charges!J139&lt;&gt;0),1,0)+IF(AND(6&gt;Paramètres!$B$9,Charges!K139&lt;&gt;"",Charges!K139&lt;&gt;0),1,0)+IF(AND(7&gt;Paramètres!$B$9,Charges!L139&lt;&gt;"",Charges!L139&lt;&gt;0),1,0)+IF(AND(8&gt;Paramètres!$B$9,Charges!M139&lt;&gt;"",Charges!M139&lt;&gt;0),1,0)+IF(AND(9&gt;Paramètres!$B$9,Charges!N139&lt;&gt;"",Charges!N139&lt;&gt;0),1,0)+IF(AND(10&gt;Paramètres!$B$9,Charges!O139&lt;&gt;"",Charges!O139&lt;&gt;0),1,0)+IF(AND(11&gt;Paramètres!$B$9,Charges!P139&lt;&gt;"",Charges!P139&lt;&gt;0),1,0)+IF(AND(12&gt;Paramètres!$B$9,Charges!Q139&lt;&gt;"",Charges!Q139&lt;&gt;0),1,0)+IF(AND(13&gt;Paramètres!$B$9,Charges!R139&lt;&gt;"",Charges!R139&lt;&gt;0),1,0)</f>
        <v>0</v>
      </c>
      <c r="V139" t="n">
        <f>IF(IFERROR(VLOOKUP(A139,'Projets'!$A$8:$Z$67,5,FALSE),"")="Engager",1,0)</f>
        <v>0</v>
      </c>
      <c r="W139" t="n">
        <f>IF(IFERROR(VLOOKUP(A139,'Projets'!$A$8:$Z$67,6,FALSE),"")="Engager",1,0)</f>
        <v>0</v>
      </c>
      <c r="X139" t="n">
        <f>E139*S139</f>
        <v>0</v>
      </c>
      <c r="Y139" t="n">
        <f>F139*S139</f>
        <v>0</v>
      </c>
      <c r="Z139" t="n">
        <f>G139*S139</f>
        <v>0</v>
      </c>
      <c r="AA139" t="n">
        <f>H139*S139</f>
        <v>0</v>
      </c>
      <c r="AB139" t="n">
        <f>I139*S139</f>
        <v>0</v>
      </c>
      <c r="AC139" t="n">
        <f>J139*S139</f>
        <v>0</v>
      </c>
      <c r="AD139" t="n">
        <f>K139*S139</f>
        <v>0</v>
      </c>
      <c r="AE139" t="n">
        <f>L139*S139</f>
        <v>0</v>
      </c>
      <c r="AF139" t="n">
        <f>M139*S139</f>
        <v>0</v>
      </c>
      <c r="AG139" t="n">
        <f>N139*S139</f>
        <v>0</v>
      </c>
      <c r="AH139" t="n">
        <f>O139*S139</f>
        <v>0</v>
      </c>
      <c r="AI139" t="n">
        <f>P139*S139</f>
        <v>0</v>
      </c>
      <c r="AJ139" t="n">
        <f>Q139*S139</f>
        <v>0</v>
      </c>
      <c r="AK139" t="n">
        <f>E139*V139</f>
        <v>0</v>
      </c>
      <c r="AL139" t="n">
        <f>F139*V139</f>
        <v>0</v>
      </c>
      <c r="AM139" t="n">
        <f>G139*V139</f>
        <v>0</v>
      </c>
      <c r="AN139" t="n">
        <f>H139*V139</f>
        <v>0</v>
      </c>
      <c r="AO139" t="n">
        <f>I139*V139</f>
        <v>0</v>
      </c>
      <c r="AP139" t="n">
        <f>J139*V139</f>
        <v>0</v>
      </c>
      <c r="AQ139" t="n">
        <f>K139*V139</f>
        <v>0</v>
      </c>
      <c r="AR139" t="n">
        <f>L139*V139</f>
        <v>0</v>
      </c>
      <c r="AS139" t="n">
        <f>M139*V139</f>
        <v>0</v>
      </c>
      <c r="AT139" t="n">
        <f>N139*V139</f>
        <v>0</v>
      </c>
      <c r="AU139" t="n">
        <f>O139*V139</f>
        <v>0</v>
      </c>
      <c r="AV139" t="n">
        <f>P139*V139</f>
        <v>0</v>
      </c>
      <c r="AW139" t="n">
        <f>Q139*V139</f>
        <v>0</v>
      </c>
      <c r="AX139" t="n">
        <f>E139*W139</f>
        <v>0</v>
      </c>
      <c r="AY139" t="n">
        <f>F139*W139</f>
        <v>0</v>
      </c>
      <c r="AZ139" t="n">
        <f>G139*W139</f>
        <v>0</v>
      </c>
      <c r="BA139" t="n">
        <f>H139*W139</f>
        <v>0</v>
      </c>
      <c r="BB139" t="n">
        <f>I139*W139</f>
        <v>0</v>
      </c>
      <c r="BC139" t="n">
        <f>J139*W139</f>
        <v>0</v>
      </c>
      <c r="BD139" t="n">
        <f>K139*W139</f>
        <v>0</v>
      </c>
      <c r="BE139" t="n">
        <f>L139*W139</f>
        <v>0</v>
      </c>
      <c r="BF139" t="n">
        <f>M139*W139</f>
        <v>0</v>
      </c>
      <c r="BG139" t="n">
        <f>N139*W139</f>
        <v>0</v>
      </c>
      <c r="BH139" t="n">
        <f>O139*W139</f>
        <v>0</v>
      </c>
      <c r="BI139" t="n">
        <f>P139*W139</f>
        <v>0</v>
      </c>
      <c r="BJ139" t="n">
        <f>Q139*W139</f>
        <v>0</v>
      </c>
    </row>
    <row r="140">
      <c r="A140" t="n">
        <f>Charges!A140</f>
        <v>0</v>
      </c>
      <c r="B140" t="n">
        <f>Charges!C140</f>
        <v>0</v>
      </c>
      <c r="C140" t="str">
        <f>Charges!D140</f>
        <v/>
      </c>
      <c r="E140" t="n">
        <f>IF(1&lt;=Paramètres!$B$9,MAX(0,IFERROR(N(IF(ISNUMBER(Charges!F140),MAX(0,Charges!F140),IFERROR(VLOOKUP(Charges!F140,Paramètres!$A$15:$B$18,2,FALSE),0))),0)),0)</f>
        <v>0</v>
      </c>
      <c r="F140" t="n">
        <f>IF(2&lt;=Paramètres!$B$9,MAX(0,IFERROR(N(IF(ISNUMBER(Charges!G140),MAX(0,Charges!G140),IFERROR(VLOOKUP(Charges!G140,Paramètres!$A$15:$B$18,2,FALSE),0))),0)),0)</f>
        <v>0</v>
      </c>
      <c r="G140" t="n">
        <f>IF(3&lt;=Paramètres!$B$9,MAX(0,IFERROR(N(IF(ISNUMBER(Charges!H140),MAX(0,Charges!H140),IFERROR(VLOOKUP(Charges!H140,Paramètres!$A$15:$B$18,2,FALSE),0))),0)),0)</f>
        <v>0</v>
      </c>
      <c r="H140" t="n">
        <f>IF(4&lt;=Paramètres!$B$9,MAX(0,IFERROR(N(IF(ISNUMBER(Charges!I140),MAX(0,Charges!I140),IFERROR(VLOOKUP(Charges!I140,Paramètres!$A$15:$B$18,2,FALSE),0))),0)),0)</f>
        <v>0</v>
      </c>
      <c r="I140" t="n">
        <f>IF(5&lt;=Paramètres!$B$9,MAX(0,IFERROR(N(IF(ISNUMBER(Charges!J140),MAX(0,Charges!J140),IFERROR(VLOOKUP(Charges!J140,Paramètres!$A$15:$B$18,2,FALSE),0))),0)),0)</f>
        <v>0</v>
      </c>
      <c r="J140" t="n">
        <f>IF(6&lt;=Paramètres!$B$9,MAX(0,IFERROR(N(IF(ISNUMBER(Charges!K140),MAX(0,Charges!K140),IFERROR(VLOOKUP(Charges!K140,Paramètres!$A$15:$B$18,2,FALSE),0))),0)),0)</f>
        <v>0</v>
      </c>
      <c r="K140" t="n">
        <f>IF(7&lt;=Paramètres!$B$9,MAX(0,IFERROR(N(IF(ISNUMBER(Charges!L140),MAX(0,Charges!L140),IFERROR(VLOOKUP(Charges!L140,Paramètres!$A$15:$B$18,2,FALSE),0))),0)),0)</f>
        <v>0</v>
      </c>
      <c r="L140" t="n">
        <f>IF(8&lt;=Paramètres!$B$9,MAX(0,IFERROR(N(IF(ISNUMBER(Charges!M140),MAX(0,Charges!M140),IFERROR(VLOOKUP(Charges!M140,Paramètres!$A$15:$B$18,2,FALSE),0))),0)),0)</f>
        <v>0</v>
      </c>
      <c r="M140" t="n">
        <f>IF(9&lt;=Paramètres!$B$9,MAX(0,IFERROR(N(IF(ISNUMBER(Charges!N140),MAX(0,Charges!N140),IFERROR(VLOOKUP(Charges!N140,Paramètres!$A$15:$B$18,2,FALSE),0))),0)),0)</f>
        <v>0</v>
      </c>
      <c r="N140" t="n">
        <f>IF(10&lt;=Paramètres!$B$9,MAX(0,IFERROR(N(IF(ISNUMBER(Charges!O140),MAX(0,Charges!O140),IFERROR(VLOOKUP(Charges!O140,Paramètres!$A$15:$B$18,2,FALSE),0))),0)),0)</f>
        <v>0</v>
      </c>
      <c r="O140" t="n">
        <f>IF(11&lt;=Paramètres!$B$9,MAX(0,IFERROR(N(IF(ISNUMBER(Charges!P140),MAX(0,Charges!P140),IFERROR(VLOOKUP(Charges!P140,Paramètres!$A$15:$B$18,2,FALSE),0))),0)),0)</f>
        <v>0</v>
      </c>
      <c r="P140" t="n">
        <f>IF(12&lt;=Paramètres!$B$9,MAX(0,IFERROR(N(IF(ISNUMBER(Charges!Q140),MAX(0,Charges!Q140),IFERROR(VLOOKUP(Charges!Q140,Paramètres!$A$15:$B$18,2,FALSE),0))),0)),0)</f>
        <v>0</v>
      </c>
      <c r="Q140" t="n">
        <f>IF(13&lt;=Paramètres!$B$9,MAX(0,IFERROR(N(IF(ISNUMBER(Charges!R140),MAX(0,Charges!R140),IFERROR(VLOOKUP(Charges!R140,Paramètres!$A$15:$B$18,2,FALSE),0))),0)),0)</f>
        <v>0</v>
      </c>
      <c r="R140" t="n">
        <f>SUM(E140:Q140)</f>
        <v>0</v>
      </c>
      <c r="S140" t="n">
        <f>IF(IFERROR(VLOOKUP(A140,'Projets'!$A$8:$Z$67,7,FALSE),"")="Engager",1,0)</f>
        <v>0</v>
      </c>
      <c r="T140" t="n">
        <f>IF(OR(Charges!F140="",AND(ISNUMBER(Charges!F140),Charges!F140&gt;=0),Charges!F140="S",Charges!F140="M",Charges!F140="L",Charges!F140="XL"),0,1)+IF(OR(Charges!G140="",AND(ISNUMBER(Charges!G140),Charges!G140&gt;=0),Charges!G140="S",Charges!G140="M",Charges!G140="L",Charges!G140="XL"),0,1)+IF(OR(Charges!H140="",AND(ISNUMBER(Charges!H140),Charges!H140&gt;=0),Charges!H140="S",Charges!H140="M",Charges!H140="L",Charges!H140="XL"),0,1)+IF(OR(Charges!I140="",AND(ISNUMBER(Charges!I140),Charges!I140&gt;=0),Charges!I140="S",Charges!I140="M",Charges!I140="L",Charges!I140="XL"),0,1)+IF(OR(Charges!J140="",AND(ISNUMBER(Charges!J140),Charges!J140&gt;=0),Charges!J140="S",Charges!J140="M",Charges!J140="L",Charges!J140="XL"),0,1)+IF(OR(Charges!K140="",AND(ISNUMBER(Charges!K140),Charges!K140&gt;=0),Charges!K140="S",Charges!K140="M",Charges!K140="L",Charges!K140="XL"),0,1)+IF(OR(Charges!L140="",AND(ISNUMBER(Charges!L140),Charges!L140&gt;=0),Charges!L140="S",Charges!L140="M",Charges!L140="L",Charges!L140="XL"),0,1)+IF(OR(Charges!M140="",AND(ISNUMBER(Charges!M140),Charges!M140&gt;=0),Charges!M140="S",Charges!M140="M",Charges!M140="L",Charges!M140="XL"),0,1)+IF(OR(Charges!N140="",AND(ISNUMBER(Charges!N140),Charges!N140&gt;=0),Charges!N140="S",Charges!N140="M",Charges!N140="L",Charges!N140="XL"),0,1)+IF(OR(Charges!O140="",AND(ISNUMBER(Charges!O140),Charges!O140&gt;=0),Charges!O140="S",Charges!O140="M",Charges!O140="L",Charges!O140="XL"),0,1)+IF(OR(Charges!P140="",AND(ISNUMBER(Charges!P140),Charges!P140&gt;=0),Charges!P140="S",Charges!P140="M",Charges!P140="L",Charges!P140="XL"),0,1)+IF(OR(Charges!Q140="",AND(ISNUMBER(Charges!Q140),Charges!Q140&gt;=0),Charges!Q140="S",Charges!Q140="M",Charges!Q140="L",Charges!Q140="XL"),0,1)+IF(OR(Charges!R140="",AND(ISNUMBER(Charges!R140),Charges!R140&gt;=0),Charges!R140="S",Charges!R140="M",Charges!R140="L",Charges!R140="XL"),0,1)</f>
        <v>0</v>
      </c>
      <c r="U140" t="n">
        <f>IF(AND(1&gt;Paramètres!$B$9,Charges!F140&lt;&gt;"",Charges!F140&lt;&gt;0),1,0)+IF(AND(2&gt;Paramètres!$B$9,Charges!G140&lt;&gt;"",Charges!G140&lt;&gt;0),1,0)+IF(AND(3&gt;Paramètres!$B$9,Charges!H140&lt;&gt;"",Charges!H140&lt;&gt;0),1,0)+IF(AND(4&gt;Paramètres!$B$9,Charges!I140&lt;&gt;"",Charges!I140&lt;&gt;0),1,0)+IF(AND(5&gt;Paramètres!$B$9,Charges!J140&lt;&gt;"",Charges!J140&lt;&gt;0),1,0)+IF(AND(6&gt;Paramètres!$B$9,Charges!K140&lt;&gt;"",Charges!K140&lt;&gt;0),1,0)+IF(AND(7&gt;Paramètres!$B$9,Charges!L140&lt;&gt;"",Charges!L140&lt;&gt;0),1,0)+IF(AND(8&gt;Paramètres!$B$9,Charges!M140&lt;&gt;"",Charges!M140&lt;&gt;0),1,0)+IF(AND(9&gt;Paramètres!$B$9,Charges!N140&lt;&gt;"",Charges!N140&lt;&gt;0),1,0)+IF(AND(10&gt;Paramètres!$B$9,Charges!O140&lt;&gt;"",Charges!O140&lt;&gt;0),1,0)+IF(AND(11&gt;Paramètres!$B$9,Charges!P140&lt;&gt;"",Charges!P140&lt;&gt;0),1,0)+IF(AND(12&gt;Paramètres!$B$9,Charges!Q140&lt;&gt;"",Charges!Q140&lt;&gt;0),1,0)+IF(AND(13&gt;Paramètres!$B$9,Charges!R140&lt;&gt;"",Charges!R140&lt;&gt;0),1,0)</f>
        <v>0</v>
      </c>
      <c r="V140" t="n">
        <f>IF(IFERROR(VLOOKUP(A140,'Projets'!$A$8:$Z$67,5,FALSE),"")="Engager",1,0)</f>
        <v>0</v>
      </c>
      <c r="W140" t="n">
        <f>IF(IFERROR(VLOOKUP(A140,'Projets'!$A$8:$Z$67,6,FALSE),"")="Engager",1,0)</f>
        <v>0</v>
      </c>
      <c r="X140" t="n">
        <f>E140*S140</f>
        <v>0</v>
      </c>
      <c r="Y140" t="n">
        <f>F140*S140</f>
        <v>0</v>
      </c>
      <c r="Z140" t="n">
        <f>G140*S140</f>
        <v>0</v>
      </c>
      <c r="AA140" t="n">
        <f>H140*S140</f>
        <v>0</v>
      </c>
      <c r="AB140" t="n">
        <f>I140*S140</f>
        <v>0</v>
      </c>
      <c r="AC140" t="n">
        <f>J140*S140</f>
        <v>0</v>
      </c>
      <c r="AD140" t="n">
        <f>K140*S140</f>
        <v>0</v>
      </c>
      <c r="AE140" t="n">
        <f>L140*S140</f>
        <v>0</v>
      </c>
      <c r="AF140" t="n">
        <f>M140*S140</f>
        <v>0</v>
      </c>
      <c r="AG140" t="n">
        <f>N140*S140</f>
        <v>0</v>
      </c>
      <c r="AH140" t="n">
        <f>O140*S140</f>
        <v>0</v>
      </c>
      <c r="AI140" t="n">
        <f>P140*S140</f>
        <v>0</v>
      </c>
      <c r="AJ140" t="n">
        <f>Q140*S140</f>
        <v>0</v>
      </c>
      <c r="AK140" t="n">
        <f>E140*V140</f>
        <v>0</v>
      </c>
      <c r="AL140" t="n">
        <f>F140*V140</f>
        <v>0</v>
      </c>
      <c r="AM140" t="n">
        <f>G140*V140</f>
        <v>0</v>
      </c>
      <c r="AN140" t="n">
        <f>H140*V140</f>
        <v>0</v>
      </c>
      <c r="AO140" t="n">
        <f>I140*V140</f>
        <v>0</v>
      </c>
      <c r="AP140" t="n">
        <f>J140*V140</f>
        <v>0</v>
      </c>
      <c r="AQ140" t="n">
        <f>K140*V140</f>
        <v>0</v>
      </c>
      <c r="AR140" t="n">
        <f>L140*V140</f>
        <v>0</v>
      </c>
      <c r="AS140" t="n">
        <f>M140*V140</f>
        <v>0</v>
      </c>
      <c r="AT140" t="n">
        <f>N140*V140</f>
        <v>0</v>
      </c>
      <c r="AU140" t="n">
        <f>O140*V140</f>
        <v>0</v>
      </c>
      <c r="AV140" t="n">
        <f>P140*V140</f>
        <v>0</v>
      </c>
      <c r="AW140" t="n">
        <f>Q140*V140</f>
        <v>0</v>
      </c>
      <c r="AX140" t="n">
        <f>E140*W140</f>
        <v>0</v>
      </c>
      <c r="AY140" t="n">
        <f>F140*W140</f>
        <v>0</v>
      </c>
      <c r="AZ140" t="n">
        <f>G140*W140</f>
        <v>0</v>
      </c>
      <c r="BA140" t="n">
        <f>H140*W140</f>
        <v>0</v>
      </c>
      <c r="BB140" t="n">
        <f>I140*W140</f>
        <v>0</v>
      </c>
      <c r="BC140" t="n">
        <f>J140*W140</f>
        <v>0</v>
      </c>
      <c r="BD140" t="n">
        <f>K140*W140</f>
        <v>0</v>
      </c>
      <c r="BE140" t="n">
        <f>L140*W140</f>
        <v>0</v>
      </c>
      <c r="BF140" t="n">
        <f>M140*W140</f>
        <v>0</v>
      </c>
      <c r="BG140" t="n">
        <f>N140*W140</f>
        <v>0</v>
      </c>
      <c r="BH140" t="n">
        <f>O140*W140</f>
        <v>0</v>
      </c>
      <c r="BI140" t="n">
        <f>P140*W140</f>
        <v>0</v>
      </c>
      <c r="BJ140" t="n">
        <f>Q140*W140</f>
        <v>0</v>
      </c>
    </row>
    <row r="141">
      <c r="A141" t="n">
        <f>Charges!A141</f>
        <v>0</v>
      </c>
      <c r="B141" t="n">
        <f>Charges!C141</f>
        <v>0</v>
      </c>
      <c r="C141" t="str">
        <f>Charges!D141</f>
        <v/>
      </c>
      <c r="E141" t="n">
        <f>IF(1&lt;=Paramètres!$B$9,MAX(0,IFERROR(N(IF(ISNUMBER(Charges!F141),MAX(0,Charges!F141),IFERROR(VLOOKUP(Charges!F141,Paramètres!$A$15:$B$18,2,FALSE),0))),0)),0)</f>
        <v>0</v>
      </c>
      <c r="F141" t="n">
        <f>IF(2&lt;=Paramètres!$B$9,MAX(0,IFERROR(N(IF(ISNUMBER(Charges!G141),MAX(0,Charges!G141),IFERROR(VLOOKUP(Charges!G141,Paramètres!$A$15:$B$18,2,FALSE),0))),0)),0)</f>
        <v>0</v>
      </c>
      <c r="G141" t="n">
        <f>IF(3&lt;=Paramètres!$B$9,MAX(0,IFERROR(N(IF(ISNUMBER(Charges!H141),MAX(0,Charges!H141),IFERROR(VLOOKUP(Charges!H141,Paramètres!$A$15:$B$18,2,FALSE),0))),0)),0)</f>
        <v>0</v>
      </c>
      <c r="H141" t="n">
        <f>IF(4&lt;=Paramètres!$B$9,MAX(0,IFERROR(N(IF(ISNUMBER(Charges!I141),MAX(0,Charges!I141),IFERROR(VLOOKUP(Charges!I141,Paramètres!$A$15:$B$18,2,FALSE),0))),0)),0)</f>
        <v>0</v>
      </c>
      <c r="I141" t="n">
        <f>IF(5&lt;=Paramètres!$B$9,MAX(0,IFERROR(N(IF(ISNUMBER(Charges!J141),MAX(0,Charges!J141),IFERROR(VLOOKUP(Charges!J141,Paramètres!$A$15:$B$18,2,FALSE),0))),0)),0)</f>
        <v>0</v>
      </c>
      <c r="J141" t="n">
        <f>IF(6&lt;=Paramètres!$B$9,MAX(0,IFERROR(N(IF(ISNUMBER(Charges!K141),MAX(0,Charges!K141),IFERROR(VLOOKUP(Charges!K141,Paramètres!$A$15:$B$18,2,FALSE),0))),0)),0)</f>
        <v>0</v>
      </c>
      <c r="K141" t="n">
        <f>IF(7&lt;=Paramètres!$B$9,MAX(0,IFERROR(N(IF(ISNUMBER(Charges!L141),MAX(0,Charges!L141),IFERROR(VLOOKUP(Charges!L141,Paramètres!$A$15:$B$18,2,FALSE),0))),0)),0)</f>
        <v>0</v>
      </c>
      <c r="L141" t="n">
        <f>IF(8&lt;=Paramètres!$B$9,MAX(0,IFERROR(N(IF(ISNUMBER(Charges!M141),MAX(0,Charges!M141),IFERROR(VLOOKUP(Charges!M141,Paramètres!$A$15:$B$18,2,FALSE),0))),0)),0)</f>
        <v>0</v>
      </c>
      <c r="M141" t="n">
        <f>IF(9&lt;=Paramètres!$B$9,MAX(0,IFERROR(N(IF(ISNUMBER(Charges!N141),MAX(0,Charges!N141),IFERROR(VLOOKUP(Charges!N141,Paramètres!$A$15:$B$18,2,FALSE),0))),0)),0)</f>
        <v>0</v>
      </c>
      <c r="N141" t="n">
        <f>IF(10&lt;=Paramètres!$B$9,MAX(0,IFERROR(N(IF(ISNUMBER(Charges!O141),MAX(0,Charges!O141),IFERROR(VLOOKUP(Charges!O141,Paramètres!$A$15:$B$18,2,FALSE),0))),0)),0)</f>
        <v>0</v>
      </c>
      <c r="O141" t="n">
        <f>IF(11&lt;=Paramètres!$B$9,MAX(0,IFERROR(N(IF(ISNUMBER(Charges!P141),MAX(0,Charges!P141),IFERROR(VLOOKUP(Charges!P141,Paramètres!$A$15:$B$18,2,FALSE),0))),0)),0)</f>
        <v>0</v>
      </c>
      <c r="P141" t="n">
        <f>IF(12&lt;=Paramètres!$B$9,MAX(0,IFERROR(N(IF(ISNUMBER(Charges!Q141),MAX(0,Charges!Q141),IFERROR(VLOOKUP(Charges!Q141,Paramètres!$A$15:$B$18,2,FALSE),0))),0)),0)</f>
        <v>0</v>
      </c>
      <c r="Q141" t="n">
        <f>IF(13&lt;=Paramètres!$B$9,MAX(0,IFERROR(N(IF(ISNUMBER(Charges!R141),MAX(0,Charges!R141),IFERROR(VLOOKUP(Charges!R141,Paramètres!$A$15:$B$18,2,FALSE),0))),0)),0)</f>
        <v>0</v>
      </c>
      <c r="R141" t="n">
        <f>SUM(E141:Q141)</f>
        <v>0</v>
      </c>
      <c r="S141" t="n">
        <f>IF(IFERROR(VLOOKUP(A141,'Projets'!$A$8:$Z$67,7,FALSE),"")="Engager",1,0)</f>
        <v>0</v>
      </c>
      <c r="T141" t="n">
        <f>IF(OR(Charges!F141="",AND(ISNUMBER(Charges!F141),Charges!F141&gt;=0),Charges!F141="S",Charges!F141="M",Charges!F141="L",Charges!F141="XL"),0,1)+IF(OR(Charges!G141="",AND(ISNUMBER(Charges!G141),Charges!G141&gt;=0),Charges!G141="S",Charges!G141="M",Charges!G141="L",Charges!G141="XL"),0,1)+IF(OR(Charges!H141="",AND(ISNUMBER(Charges!H141),Charges!H141&gt;=0),Charges!H141="S",Charges!H141="M",Charges!H141="L",Charges!H141="XL"),0,1)+IF(OR(Charges!I141="",AND(ISNUMBER(Charges!I141),Charges!I141&gt;=0),Charges!I141="S",Charges!I141="M",Charges!I141="L",Charges!I141="XL"),0,1)+IF(OR(Charges!J141="",AND(ISNUMBER(Charges!J141),Charges!J141&gt;=0),Charges!J141="S",Charges!J141="M",Charges!J141="L",Charges!J141="XL"),0,1)+IF(OR(Charges!K141="",AND(ISNUMBER(Charges!K141),Charges!K141&gt;=0),Charges!K141="S",Charges!K141="M",Charges!K141="L",Charges!K141="XL"),0,1)+IF(OR(Charges!L141="",AND(ISNUMBER(Charges!L141),Charges!L141&gt;=0),Charges!L141="S",Charges!L141="M",Charges!L141="L",Charges!L141="XL"),0,1)+IF(OR(Charges!M141="",AND(ISNUMBER(Charges!M141),Charges!M141&gt;=0),Charges!M141="S",Charges!M141="M",Charges!M141="L",Charges!M141="XL"),0,1)+IF(OR(Charges!N141="",AND(ISNUMBER(Charges!N141),Charges!N141&gt;=0),Charges!N141="S",Charges!N141="M",Charges!N141="L",Charges!N141="XL"),0,1)+IF(OR(Charges!O141="",AND(ISNUMBER(Charges!O141),Charges!O141&gt;=0),Charges!O141="S",Charges!O141="M",Charges!O141="L",Charges!O141="XL"),0,1)+IF(OR(Charges!P141="",AND(ISNUMBER(Charges!P141),Charges!P141&gt;=0),Charges!P141="S",Charges!P141="M",Charges!P141="L",Charges!P141="XL"),0,1)+IF(OR(Charges!Q141="",AND(ISNUMBER(Charges!Q141),Charges!Q141&gt;=0),Charges!Q141="S",Charges!Q141="M",Charges!Q141="L",Charges!Q141="XL"),0,1)+IF(OR(Charges!R141="",AND(ISNUMBER(Charges!R141),Charges!R141&gt;=0),Charges!R141="S",Charges!R141="M",Charges!R141="L",Charges!R141="XL"),0,1)</f>
        <v>0</v>
      </c>
      <c r="U141" t="n">
        <f>IF(AND(1&gt;Paramètres!$B$9,Charges!F141&lt;&gt;"",Charges!F141&lt;&gt;0),1,0)+IF(AND(2&gt;Paramètres!$B$9,Charges!G141&lt;&gt;"",Charges!G141&lt;&gt;0),1,0)+IF(AND(3&gt;Paramètres!$B$9,Charges!H141&lt;&gt;"",Charges!H141&lt;&gt;0),1,0)+IF(AND(4&gt;Paramètres!$B$9,Charges!I141&lt;&gt;"",Charges!I141&lt;&gt;0),1,0)+IF(AND(5&gt;Paramètres!$B$9,Charges!J141&lt;&gt;"",Charges!J141&lt;&gt;0),1,0)+IF(AND(6&gt;Paramètres!$B$9,Charges!K141&lt;&gt;"",Charges!K141&lt;&gt;0),1,0)+IF(AND(7&gt;Paramètres!$B$9,Charges!L141&lt;&gt;"",Charges!L141&lt;&gt;0),1,0)+IF(AND(8&gt;Paramètres!$B$9,Charges!M141&lt;&gt;"",Charges!M141&lt;&gt;0),1,0)+IF(AND(9&gt;Paramètres!$B$9,Charges!N141&lt;&gt;"",Charges!N141&lt;&gt;0),1,0)+IF(AND(10&gt;Paramètres!$B$9,Charges!O141&lt;&gt;"",Charges!O141&lt;&gt;0),1,0)+IF(AND(11&gt;Paramètres!$B$9,Charges!P141&lt;&gt;"",Charges!P141&lt;&gt;0),1,0)+IF(AND(12&gt;Paramètres!$B$9,Charges!Q141&lt;&gt;"",Charges!Q141&lt;&gt;0),1,0)+IF(AND(13&gt;Paramètres!$B$9,Charges!R141&lt;&gt;"",Charges!R141&lt;&gt;0),1,0)</f>
        <v>0</v>
      </c>
      <c r="V141" t="n">
        <f>IF(IFERROR(VLOOKUP(A141,'Projets'!$A$8:$Z$67,5,FALSE),"")="Engager",1,0)</f>
        <v>0</v>
      </c>
      <c r="W141" t="n">
        <f>IF(IFERROR(VLOOKUP(A141,'Projets'!$A$8:$Z$67,6,FALSE),"")="Engager",1,0)</f>
        <v>0</v>
      </c>
      <c r="X141" t="n">
        <f>E141*S141</f>
        <v>0</v>
      </c>
      <c r="Y141" t="n">
        <f>F141*S141</f>
        <v>0</v>
      </c>
      <c r="Z141" t="n">
        <f>G141*S141</f>
        <v>0</v>
      </c>
      <c r="AA141" t="n">
        <f>H141*S141</f>
        <v>0</v>
      </c>
      <c r="AB141" t="n">
        <f>I141*S141</f>
        <v>0</v>
      </c>
      <c r="AC141" t="n">
        <f>J141*S141</f>
        <v>0</v>
      </c>
      <c r="AD141" t="n">
        <f>K141*S141</f>
        <v>0</v>
      </c>
      <c r="AE141" t="n">
        <f>L141*S141</f>
        <v>0</v>
      </c>
      <c r="AF141" t="n">
        <f>M141*S141</f>
        <v>0</v>
      </c>
      <c r="AG141" t="n">
        <f>N141*S141</f>
        <v>0</v>
      </c>
      <c r="AH141" t="n">
        <f>O141*S141</f>
        <v>0</v>
      </c>
      <c r="AI141" t="n">
        <f>P141*S141</f>
        <v>0</v>
      </c>
      <c r="AJ141" t="n">
        <f>Q141*S141</f>
        <v>0</v>
      </c>
      <c r="AK141" t="n">
        <f>E141*V141</f>
        <v>0</v>
      </c>
      <c r="AL141" t="n">
        <f>F141*V141</f>
        <v>0</v>
      </c>
      <c r="AM141" t="n">
        <f>G141*V141</f>
        <v>0</v>
      </c>
      <c r="AN141" t="n">
        <f>H141*V141</f>
        <v>0</v>
      </c>
      <c r="AO141" t="n">
        <f>I141*V141</f>
        <v>0</v>
      </c>
      <c r="AP141" t="n">
        <f>J141*V141</f>
        <v>0</v>
      </c>
      <c r="AQ141" t="n">
        <f>K141*V141</f>
        <v>0</v>
      </c>
      <c r="AR141" t="n">
        <f>L141*V141</f>
        <v>0</v>
      </c>
      <c r="AS141" t="n">
        <f>M141*V141</f>
        <v>0</v>
      </c>
      <c r="AT141" t="n">
        <f>N141*V141</f>
        <v>0</v>
      </c>
      <c r="AU141" t="n">
        <f>O141*V141</f>
        <v>0</v>
      </c>
      <c r="AV141" t="n">
        <f>P141*V141</f>
        <v>0</v>
      </c>
      <c r="AW141" t="n">
        <f>Q141*V141</f>
        <v>0</v>
      </c>
      <c r="AX141" t="n">
        <f>E141*W141</f>
        <v>0</v>
      </c>
      <c r="AY141" t="n">
        <f>F141*W141</f>
        <v>0</v>
      </c>
      <c r="AZ141" t="n">
        <f>G141*W141</f>
        <v>0</v>
      </c>
      <c r="BA141" t="n">
        <f>H141*W141</f>
        <v>0</v>
      </c>
      <c r="BB141" t="n">
        <f>I141*W141</f>
        <v>0</v>
      </c>
      <c r="BC141" t="n">
        <f>J141*W141</f>
        <v>0</v>
      </c>
      <c r="BD141" t="n">
        <f>K141*W141</f>
        <v>0</v>
      </c>
      <c r="BE141" t="n">
        <f>L141*W141</f>
        <v>0</v>
      </c>
      <c r="BF141" t="n">
        <f>M141*W141</f>
        <v>0</v>
      </c>
      <c r="BG141" t="n">
        <f>N141*W141</f>
        <v>0</v>
      </c>
      <c r="BH141" t="n">
        <f>O141*W141</f>
        <v>0</v>
      </c>
      <c r="BI141" t="n">
        <f>P141*W141</f>
        <v>0</v>
      </c>
      <c r="BJ141" t="n">
        <f>Q141*W141</f>
        <v>0</v>
      </c>
    </row>
    <row r="142">
      <c r="A142" t="n">
        <f>Charges!A142</f>
        <v>0</v>
      </c>
      <c r="B142" t="n">
        <f>Charges!C142</f>
        <v>0</v>
      </c>
      <c r="C142" t="str">
        <f>Charges!D142</f>
        <v/>
      </c>
      <c r="E142" t="n">
        <f>IF(1&lt;=Paramètres!$B$9,MAX(0,IFERROR(N(IF(ISNUMBER(Charges!F142),MAX(0,Charges!F142),IFERROR(VLOOKUP(Charges!F142,Paramètres!$A$15:$B$18,2,FALSE),0))),0)),0)</f>
        <v>0</v>
      </c>
      <c r="F142" t="n">
        <f>IF(2&lt;=Paramètres!$B$9,MAX(0,IFERROR(N(IF(ISNUMBER(Charges!G142),MAX(0,Charges!G142),IFERROR(VLOOKUP(Charges!G142,Paramètres!$A$15:$B$18,2,FALSE),0))),0)),0)</f>
        <v>0</v>
      </c>
      <c r="G142" t="n">
        <f>IF(3&lt;=Paramètres!$B$9,MAX(0,IFERROR(N(IF(ISNUMBER(Charges!H142),MAX(0,Charges!H142),IFERROR(VLOOKUP(Charges!H142,Paramètres!$A$15:$B$18,2,FALSE),0))),0)),0)</f>
        <v>0</v>
      </c>
      <c r="H142" t="n">
        <f>IF(4&lt;=Paramètres!$B$9,MAX(0,IFERROR(N(IF(ISNUMBER(Charges!I142),MAX(0,Charges!I142),IFERROR(VLOOKUP(Charges!I142,Paramètres!$A$15:$B$18,2,FALSE),0))),0)),0)</f>
        <v>0</v>
      </c>
      <c r="I142" t="n">
        <f>IF(5&lt;=Paramètres!$B$9,MAX(0,IFERROR(N(IF(ISNUMBER(Charges!J142),MAX(0,Charges!J142),IFERROR(VLOOKUP(Charges!J142,Paramètres!$A$15:$B$18,2,FALSE),0))),0)),0)</f>
        <v>0</v>
      </c>
      <c r="J142" t="n">
        <f>IF(6&lt;=Paramètres!$B$9,MAX(0,IFERROR(N(IF(ISNUMBER(Charges!K142),MAX(0,Charges!K142),IFERROR(VLOOKUP(Charges!K142,Paramètres!$A$15:$B$18,2,FALSE),0))),0)),0)</f>
        <v>0</v>
      </c>
      <c r="K142" t="n">
        <f>IF(7&lt;=Paramètres!$B$9,MAX(0,IFERROR(N(IF(ISNUMBER(Charges!L142),MAX(0,Charges!L142),IFERROR(VLOOKUP(Charges!L142,Paramètres!$A$15:$B$18,2,FALSE),0))),0)),0)</f>
        <v>0</v>
      </c>
      <c r="L142" t="n">
        <f>IF(8&lt;=Paramètres!$B$9,MAX(0,IFERROR(N(IF(ISNUMBER(Charges!M142),MAX(0,Charges!M142),IFERROR(VLOOKUP(Charges!M142,Paramètres!$A$15:$B$18,2,FALSE),0))),0)),0)</f>
        <v>0</v>
      </c>
      <c r="M142" t="n">
        <f>IF(9&lt;=Paramètres!$B$9,MAX(0,IFERROR(N(IF(ISNUMBER(Charges!N142),MAX(0,Charges!N142),IFERROR(VLOOKUP(Charges!N142,Paramètres!$A$15:$B$18,2,FALSE),0))),0)),0)</f>
        <v>0</v>
      </c>
      <c r="N142" t="n">
        <f>IF(10&lt;=Paramètres!$B$9,MAX(0,IFERROR(N(IF(ISNUMBER(Charges!O142),MAX(0,Charges!O142),IFERROR(VLOOKUP(Charges!O142,Paramètres!$A$15:$B$18,2,FALSE),0))),0)),0)</f>
        <v>0</v>
      </c>
      <c r="O142" t="n">
        <f>IF(11&lt;=Paramètres!$B$9,MAX(0,IFERROR(N(IF(ISNUMBER(Charges!P142),MAX(0,Charges!P142),IFERROR(VLOOKUP(Charges!P142,Paramètres!$A$15:$B$18,2,FALSE),0))),0)),0)</f>
        <v>0</v>
      </c>
      <c r="P142" t="n">
        <f>IF(12&lt;=Paramètres!$B$9,MAX(0,IFERROR(N(IF(ISNUMBER(Charges!Q142),MAX(0,Charges!Q142),IFERROR(VLOOKUP(Charges!Q142,Paramètres!$A$15:$B$18,2,FALSE),0))),0)),0)</f>
        <v>0</v>
      </c>
      <c r="Q142" t="n">
        <f>IF(13&lt;=Paramètres!$B$9,MAX(0,IFERROR(N(IF(ISNUMBER(Charges!R142),MAX(0,Charges!R142),IFERROR(VLOOKUP(Charges!R142,Paramètres!$A$15:$B$18,2,FALSE),0))),0)),0)</f>
        <v>0</v>
      </c>
      <c r="R142" t="n">
        <f>SUM(E142:Q142)</f>
        <v>0</v>
      </c>
      <c r="S142" t="n">
        <f>IF(IFERROR(VLOOKUP(A142,'Projets'!$A$8:$Z$67,7,FALSE),"")="Engager",1,0)</f>
        <v>0</v>
      </c>
      <c r="T142" t="n">
        <f>IF(OR(Charges!F142="",AND(ISNUMBER(Charges!F142),Charges!F142&gt;=0),Charges!F142="S",Charges!F142="M",Charges!F142="L",Charges!F142="XL"),0,1)+IF(OR(Charges!G142="",AND(ISNUMBER(Charges!G142),Charges!G142&gt;=0),Charges!G142="S",Charges!G142="M",Charges!G142="L",Charges!G142="XL"),0,1)+IF(OR(Charges!H142="",AND(ISNUMBER(Charges!H142),Charges!H142&gt;=0),Charges!H142="S",Charges!H142="M",Charges!H142="L",Charges!H142="XL"),0,1)+IF(OR(Charges!I142="",AND(ISNUMBER(Charges!I142),Charges!I142&gt;=0),Charges!I142="S",Charges!I142="M",Charges!I142="L",Charges!I142="XL"),0,1)+IF(OR(Charges!J142="",AND(ISNUMBER(Charges!J142),Charges!J142&gt;=0),Charges!J142="S",Charges!J142="M",Charges!J142="L",Charges!J142="XL"),0,1)+IF(OR(Charges!K142="",AND(ISNUMBER(Charges!K142),Charges!K142&gt;=0),Charges!K142="S",Charges!K142="M",Charges!K142="L",Charges!K142="XL"),0,1)+IF(OR(Charges!L142="",AND(ISNUMBER(Charges!L142),Charges!L142&gt;=0),Charges!L142="S",Charges!L142="M",Charges!L142="L",Charges!L142="XL"),0,1)+IF(OR(Charges!M142="",AND(ISNUMBER(Charges!M142),Charges!M142&gt;=0),Charges!M142="S",Charges!M142="M",Charges!M142="L",Charges!M142="XL"),0,1)+IF(OR(Charges!N142="",AND(ISNUMBER(Charges!N142),Charges!N142&gt;=0),Charges!N142="S",Charges!N142="M",Charges!N142="L",Charges!N142="XL"),0,1)+IF(OR(Charges!O142="",AND(ISNUMBER(Charges!O142),Charges!O142&gt;=0),Charges!O142="S",Charges!O142="M",Charges!O142="L",Charges!O142="XL"),0,1)+IF(OR(Charges!P142="",AND(ISNUMBER(Charges!P142),Charges!P142&gt;=0),Charges!P142="S",Charges!P142="M",Charges!P142="L",Charges!P142="XL"),0,1)+IF(OR(Charges!Q142="",AND(ISNUMBER(Charges!Q142),Charges!Q142&gt;=0),Charges!Q142="S",Charges!Q142="M",Charges!Q142="L",Charges!Q142="XL"),0,1)+IF(OR(Charges!R142="",AND(ISNUMBER(Charges!R142),Charges!R142&gt;=0),Charges!R142="S",Charges!R142="M",Charges!R142="L",Charges!R142="XL"),0,1)</f>
        <v>0</v>
      </c>
      <c r="U142" t="n">
        <f>IF(AND(1&gt;Paramètres!$B$9,Charges!F142&lt;&gt;"",Charges!F142&lt;&gt;0),1,0)+IF(AND(2&gt;Paramètres!$B$9,Charges!G142&lt;&gt;"",Charges!G142&lt;&gt;0),1,0)+IF(AND(3&gt;Paramètres!$B$9,Charges!H142&lt;&gt;"",Charges!H142&lt;&gt;0),1,0)+IF(AND(4&gt;Paramètres!$B$9,Charges!I142&lt;&gt;"",Charges!I142&lt;&gt;0),1,0)+IF(AND(5&gt;Paramètres!$B$9,Charges!J142&lt;&gt;"",Charges!J142&lt;&gt;0),1,0)+IF(AND(6&gt;Paramètres!$B$9,Charges!K142&lt;&gt;"",Charges!K142&lt;&gt;0),1,0)+IF(AND(7&gt;Paramètres!$B$9,Charges!L142&lt;&gt;"",Charges!L142&lt;&gt;0),1,0)+IF(AND(8&gt;Paramètres!$B$9,Charges!M142&lt;&gt;"",Charges!M142&lt;&gt;0),1,0)+IF(AND(9&gt;Paramètres!$B$9,Charges!N142&lt;&gt;"",Charges!N142&lt;&gt;0),1,0)+IF(AND(10&gt;Paramètres!$B$9,Charges!O142&lt;&gt;"",Charges!O142&lt;&gt;0),1,0)+IF(AND(11&gt;Paramètres!$B$9,Charges!P142&lt;&gt;"",Charges!P142&lt;&gt;0),1,0)+IF(AND(12&gt;Paramètres!$B$9,Charges!Q142&lt;&gt;"",Charges!Q142&lt;&gt;0),1,0)+IF(AND(13&gt;Paramètres!$B$9,Charges!R142&lt;&gt;"",Charges!R142&lt;&gt;0),1,0)</f>
        <v>0</v>
      </c>
      <c r="V142" t="n">
        <f>IF(IFERROR(VLOOKUP(A142,'Projets'!$A$8:$Z$67,5,FALSE),"")="Engager",1,0)</f>
        <v>0</v>
      </c>
      <c r="W142" t="n">
        <f>IF(IFERROR(VLOOKUP(A142,'Projets'!$A$8:$Z$67,6,FALSE),"")="Engager",1,0)</f>
        <v>0</v>
      </c>
      <c r="X142" t="n">
        <f>E142*S142</f>
        <v>0</v>
      </c>
      <c r="Y142" t="n">
        <f>F142*S142</f>
        <v>0</v>
      </c>
      <c r="Z142" t="n">
        <f>G142*S142</f>
        <v>0</v>
      </c>
      <c r="AA142" t="n">
        <f>H142*S142</f>
        <v>0</v>
      </c>
      <c r="AB142" t="n">
        <f>I142*S142</f>
        <v>0</v>
      </c>
      <c r="AC142" t="n">
        <f>J142*S142</f>
        <v>0</v>
      </c>
      <c r="AD142" t="n">
        <f>K142*S142</f>
        <v>0</v>
      </c>
      <c r="AE142" t="n">
        <f>L142*S142</f>
        <v>0</v>
      </c>
      <c r="AF142" t="n">
        <f>M142*S142</f>
        <v>0</v>
      </c>
      <c r="AG142" t="n">
        <f>N142*S142</f>
        <v>0</v>
      </c>
      <c r="AH142" t="n">
        <f>O142*S142</f>
        <v>0</v>
      </c>
      <c r="AI142" t="n">
        <f>P142*S142</f>
        <v>0</v>
      </c>
      <c r="AJ142" t="n">
        <f>Q142*S142</f>
        <v>0</v>
      </c>
      <c r="AK142" t="n">
        <f>E142*V142</f>
        <v>0</v>
      </c>
      <c r="AL142" t="n">
        <f>F142*V142</f>
        <v>0</v>
      </c>
      <c r="AM142" t="n">
        <f>G142*V142</f>
        <v>0</v>
      </c>
      <c r="AN142" t="n">
        <f>H142*V142</f>
        <v>0</v>
      </c>
      <c r="AO142" t="n">
        <f>I142*V142</f>
        <v>0</v>
      </c>
      <c r="AP142" t="n">
        <f>J142*V142</f>
        <v>0</v>
      </c>
      <c r="AQ142" t="n">
        <f>K142*V142</f>
        <v>0</v>
      </c>
      <c r="AR142" t="n">
        <f>L142*V142</f>
        <v>0</v>
      </c>
      <c r="AS142" t="n">
        <f>M142*V142</f>
        <v>0</v>
      </c>
      <c r="AT142" t="n">
        <f>N142*V142</f>
        <v>0</v>
      </c>
      <c r="AU142" t="n">
        <f>O142*V142</f>
        <v>0</v>
      </c>
      <c r="AV142" t="n">
        <f>P142*V142</f>
        <v>0</v>
      </c>
      <c r="AW142" t="n">
        <f>Q142*V142</f>
        <v>0</v>
      </c>
      <c r="AX142" t="n">
        <f>E142*W142</f>
        <v>0</v>
      </c>
      <c r="AY142" t="n">
        <f>F142*W142</f>
        <v>0</v>
      </c>
      <c r="AZ142" t="n">
        <f>G142*W142</f>
        <v>0</v>
      </c>
      <c r="BA142" t="n">
        <f>H142*W142</f>
        <v>0</v>
      </c>
      <c r="BB142" t="n">
        <f>I142*W142</f>
        <v>0</v>
      </c>
      <c r="BC142" t="n">
        <f>J142*W142</f>
        <v>0</v>
      </c>
      <c r="BD142" t="n">
        <f>K142*W142</f>
        <v>0</v>
      </c>
      <c r="BE142" t="n">
        <f>L142*W142</f>
        <v>0</v>
      </c>
      <c r="BF142" t="n">
        <f>M142*W142</f>
        <v>0</v>
      </c>
      <c r="BG142" t="n">
        <f>N142*W142</f>
        <v>0</v>
      </c>
      <c r="BH142" t="n">
        <f>O142*W142</f>
        <v>0</v>
      </c>
      <c r="BI142" t="n">
        <f>P142*W142</f>
        <v>0</v>
      </c>
      <c r="BJ142" t="n">
        <f>Q142*W142</f>
        <v>0</v>
      </c>
    </row>
    <row r="143">
      <c r="A143" t="n">
        <f>Charges!A143</f>
        <v>0</v>
      </c>
      <c r="B143" t="n">
        <f>Charges!C143</f>
        <v>0</v>
      </c>
      <c r="C143" t="str">
        <f>Charges!D143</f>
        <v/>
      </c>
      <c r="E143" t="n">
        <f>IF(1&lt;=Paramètres!$B$9,MAX(0,IFERROR(N(IF(ISNUMBER(Charges!F143),MAX(0,Charges!F143),IFERROR(VLOOKUP(Charges!F143,Paramètres!$A$15:$B$18,2,FALSE),0))),0)),0)</f>
        <v>0</v>
      </c>
      <c r="F143" t="n">
        <f>IF(2&lt;=Paramètres!$B$9,MAX(0,IFERROR(N(IF(ISNUMBER(Charges!G143),MAX(0,Charges!G143),IFERROR(VLOOKUP(Charges!G143,Paramètres!$A$15:$B$18,2,FALSE),0))),0)),0)</f>
        <v>0</v>
      </c>
      <c r="G143" t="n">
        <f>IF(3&lt;=Paramètres!$B$9,MAX(0,IFERROR(N(IF(ISNUMBER(Charges!H143),MAX(0,Charges!H143),IFERROR(VLOOKUP(Charges!H143,Paramètres!$A$15:$B$18,2,FALSE),0))),0)),0)</f>
        <v>0</v>
      </c>
      <c r="H143" t="n">
        <f>IF(4&lt;=Paramètres!$B$9,MAX(0,IFERROR(N(IF(ISNUMBER(Charges!I143),MAX(0,Charges!I143),IFERROR(VLOOKUP(Charges!I143,Paramètres!$A$15:$B$18,2,FALSE),0))),0)),0)</f>
        <v>0</v>
      </c>
      <c r="I143" t="n">
        <f>IF(5&lt;=Paramètres!$B$9,MAX(0,IFERROR(N(IF(ISNUMBER(Charges!J143),MAX(0,Charges!J143),IFERROR(VLOOKUP(Charges!J143,Paramètres!$A$15:$B$18,2,FALSE),0))),0)),0)</f>
        <v>0</v>
      </c>
      <c r="J143" t="n">
        <f>IF(6&lt;=Paramètres!$B$9,MAX(0,IFERROR(N(IF(ISNUMBER(Charges!K143),MAX(0,Charges!K143),IFERROR(VLOOKUP(Charges!K143,Paramètres!$A$15:$B$18,2,FALSE),0))),0)),0)</f>
        <v>0</v>
      </c>
      <c r="K143" t="n">
        <f>IF(7&lt;=Paramètres!$B$9,MAX(0,IFERROR(N(IF(ISNUMBER(Charges!L143),MAX(0,Charges!L143),IFERROR(VLOOKUP(Charges!L143,Paramètres!$A$15:$B$18,2,FALSE),0))),0)),0)</f>
        <v>0</v>
      </c>
      <c r="L143" t="n">
        <f>IF(8&lt;=Paramètres!$B$9,MAX(0,IFERROR(N(IF(ISNUMBER(Charges!M143),MAX(0,Charges!M143),IFERROR(VLOOKUP(Charges!M143,Paramètres!$A$15:$B$18,2,FALSE),0))),0)),0)</f>
        <v>0</v>
      </c>
      <c r="M143" t="n">
        <f>IF(9&lt;=Paramètres!$B$9,MAX(0,IFERROR(N(IF(ISNUMBER(Charges!N143),MAX(0,Charges!N143),IFERROR(VLOOKUP(Charges!N143,Paramètres!$A$15:$B$18,2,FALSE),0))),0)),0)</f>
        <v>0</v>
      </c>
      <c r="N143" t="n">
        <f>IF(10&lt;=Paramètres!$B$9,MAX(0,IFERROR(N(IF(ISNUMBER(Charges!O143),MAX(0,Charges!O143),IFERROR(VLOOKUP(Charges!O143,Paramètres!$A$15:$B$18,2,FALSE),0))),0)),0)</f>
        <v>0</v>
      </c>
      <c r="O143" t="n">
        <f>IF(11&lt;=Paramètres!$B$9,MAX(0,IFERROR(N(IF(ISNUMBER(Charges!P143),MAX(0,Charges!P143),IFERROR(VLOOKUP(Charges!P143,Paramètres!$A$15:$B$18,2,FALSE),0))),0)),0)</f>
        <v>0</v>
      </c>
      <c r="P143" t="n">
        <f>IF(12&lt;=Paramètres!$B$9,MAX(0,IFERROR(N(IF(ISNUMBER(Charges!Q143),MAX(0,Charges!Q143),IFERROR(VLOOKUP(Charges!Q143,Paramètres!$A$15:$B$18,2,FALSE),0))),0)),0)</f>
        <v>0</v>
      </c>
      <c r="Q143" t="n">
        <f>IF(13&lt;=Paramètres!$B$9,MAX(0,IFERROR(N(IF(ISNUMBER(Charges!R143),MAX(0,Charges!R143),IFERROR(VLOOKUP(Charges!R143,Paramètres!$A$15:$B$18,2,FALSE),0))),0)),0)</f>
        <v>0</v>
      </c>
      <c r="R143" t="n">
        <f>SUM(E143:Q143)</f>
        <v>0</v>
      </c>
      <c r="S143" t="n">
        <f>IF(IFERROR(VLOOKUP(A143,'Projets'!$A$8:$Z$67,7,FALSE),"")="Engager",1,0)</f>
        <v>0</v>
      </c>
      <c r="T143" t="n">
        <f>IF(OR(Charges!F143="",AND(ISNUMBER(Charges!F143),Charges!F143&gt;=0),Charges!F143="S",Charges!F143="M",Charges!F143="L",Charges!F143="XL"),0,1)+IF(OR(Charges!G143="",AND(ISNUMBER(Charges!G143),Charges!G143&gt;=0),Charges!G143="S",Charges!G143="M",Charges!G143="L",Charges!G143="XL"),0,1)+IF(OR(Charges!H143="",AND(ISNUMBER(Charges!H143),Charges!H143&gt;=0),Charges!H143="S",Charges!H143="M",Charges!H143="L",Charges!H143="XL"),0,1)+IF(OR(Charges!I143="",AND(ISNUMBER(Charges!I143),Charges!I143&gt;=0),Charges!I143="S",Charges!I143="M",Charges!I143="L",Charges!I143="XL"),0,1)+IF(OR(Charges!J143="",AND(ISNUMBER(Charges!J143),Charges!J143&gt;=0),Charges!J143="S",Charges!J143="M",Charges!J143="L",Charges!J143="XL"),0,1)+IF(OR(Charges!K143="",AND(ISNUMBER(Charges!K143),Charges!K143&gt;=0),Charges!K143="S",Charges!K143="M",Charges!K143="L",Charges!K143="XL"),0,1)+IF(OR(Charges!L143="",AND(ISNUMBER(Charges!L143),Charges!L143&gt;=0),Charges!L143="S",Charges!L143="M",Charges!L143="L",Charges!L143="XL"),0,1)+IF(OR(Charges!M143="",AND(ISNUMBER(Charges!M143),Charges!M143&gt;=0),Charges!M143="S",Charges!M143="M",Charges!M143="L",Charges!M143="XL"),0,1)+IF(OR(Charges!N143="",AND(ISNUMBER(Charges!N143),Charges!N143&gt;=0),Charges!N143="S",Charges!N143="M",Charges!N143="L",Charges!N143="XL"),0,1)+IF(OR(Charges!O143="",AND(ISNUMBER(Charges!O143),Charges!O143&gt;=0),Charges!O143="S",Charges!O143="M",Charges!O143="L",Charges!O143="XL"),0,1)+IF(OR(Charges!P143="",AND(ISNUMBER(Charges!P143),Charges!P143&gt;=0),Charges!P143="S",Charges!P143="M",Charges!P143="L",Charges!P143="XL"),0,1)+IF(OR(Charges!Q143="",AND(ISNUMBER(Charges!Q143),Charges!Q143&gt;=0),Charges!Q143="S",Charges!Q143="M",Charges!Q143="L",Charges!Q143="XL"),0,1)+IF(OR(Charges!R143="",AND(ISNUMBER(Charges!R143),Charges!R143&gt;=0),Charges!R143="S",Charges!R143="M",Charges!R143="L",Charges!R143="XL"),0,1)</f>
        <v>0</v>
      </c>
      <c r="U143" t="n">
        <f>IF(AND(1&gt;Paramètres!$B$9,Charges!F143&lt;&gt;"",Charges!F143&lt;&gt;0),1,0)+IF(AND(2&gt;Paramètres!$B$9,Charges!G143&lt;&gt;"",Charges!G143&lt;&gt;0),1,0)+IF(AND(3&gt;Paramètres!$B$9,Charges!H143&lt;&gt;"",Charges!H143&lt;&gt;0),1,0)+IF(AND(4&gt;Paramètres!$B$9,Charges!I143&lt;&gt;"",Charges!I143&lt;&gt;0),1,0)+IF(AND(5&gt;Paramètres!$B$9,Charges!J143&lt;&gt;"",Charges!J143&lt;&gt;0),1,0)+IF(AND(6&gt;Paramètres!$B$9,Charges!K143&lt;&gt;"",Charges!K143&lt;&gt;0),1,0)+IF(AND(7&gt;Paramètres!$B$9,Charges!L143&lt;&gt;"",Charges!L143&lt;&gt;0),1,0)+IF(AND(8&gt;Paramètres!$B$9,Charges!M143&lt;&gt;"",Charges!M143&lt;&gt;0),1,0)+IF(AND(9&gt;Paramètres!$B$9,Charges!N143&lt;&gt;"",Charges!N143&lt;&gt;0),1,0)+IF(AND(10&gt;Paramètres!$B$9,Charges!O143&lt;&gt;"",Charges!O143&lt;&gt;0),1,0)+IF(AND(11&gt;Paramètres!$B$9,Charges!P143&lt;&gt;"",Charges!P143&lt;&gt;0),1,0)+IF(AND(12&gt;Paramètres!$B$9,Charges!Q143&lt;&gt;"",Charges!Q143&lt;&gt;0),1,0)+IF(AND(13&gt;Paramètres!$B$9,Charges!R143&lt;&gt;"",Charges!R143&lt;&gt;0),1,0)</f>
        <v>0</v>
      </c>
      <c r="V143" t="n">
        <f>IF(IFERROR(VLOOKUP(A143,'Projets'!$A$8:$Z$67,5,FALSE),"")="Engager",1,0)</f>
        <v>0</v>
      </c>
      <c r="W143" t="n">
        <f>IF(IFERROR(VLOOKUP(A143,'Projets'!$A$8:$Z$67,6,FALSE),"")="Engager",1,0)</f>
        <v>0</v>
      </c>
      <c r="X143" t="n">
        <f>E143*S143</f>
        <v>0</v>
      </c>
      <c r="Y143" t="n">
        <f>F143*S143</f>
        <v>0</v>
      </c>
      <c r="Z143" t="n">
        <f>G143*S143</f>
        <v>0</v>
      </c>
      <c r="AA143" t="n">
        <f>H143*S143</f>
        <v>0</v>
      </c>
      <c r="AB143" t="n">
        <f>I143*S143</f>
        <v>0</v>
      </c>
      <c r="AC143" t="n">
        <f>J143*S143</f>
        <v>0</v>
      </c>
      <c r="AD143" t="n">
        <f>K143*S143</f>
        <v>0</v>
      </c>
      <c r="AE143" t="n">
        <f>L143*S143</f>
        <v>0</v>
      </c>
      <c r="AF143" t="n">
        <f>M143*S143</f>
        <v>0</v>
      </c>
      <c r="AG143" t="n">
        <f>N143*S143</f>
        <v>0</v>
      </c>
      <c r="AH143" t="n">
        <f>O143*S143</f>
        <v>0</v>
      </c>
      <c r="AI143" t="n">
        <f>P143*S143</f>
        <v>0</v>
      </c>
      <c r="AJ143" t="n">
        <f>Q143*S143</f>
        <v>0</v>
      </c>
      <c r="AK143" t="n">
        <f>E143*V143</f>
        <v>0</v>
      </c>
      <c r="AL143" t="n">
        <f>F143*V143</f>
        <v>0</v>
      </c>
      <c r="AM143" t="n">
        <f>G143*V143</f>
        <v>0</v>
      </c>
      <c r="AN143" t="n">
        <f>H143*V143</f>
        <v>0</v>
      </c>
      <c r="AO143" t="n">
        <f>I143*V143</f>
        <v>0</v>
      </c>
      <c r="AP143" t="n">
        <f>J143*V143</f>
        <v>0</v>
      </c>
      <c r="AQ143" t="n">
        <f>K143*V143</f>
        <v>0</v>
      </c>
      <c r="AR143" t="n">
        <f>L143*V143</f>
        <v>0</v>
      </c>
      <c r="AS143" t="n">
        <f>M143*V143</f>
        <v>0</v>
      </c>
      <c r="AT143" t="n">
        <f>N143*V143</f>
        <v>0</v>
      </c>
      <c r="AU143" t="n">
        <f>O143*V143</f>
        <v>0</v>
      </c>
      <c r="AV143" t="n">
        <f>P143*V143</f>
        <v>0</v>
      </c>
      <c r="AW143" t="n">
        <f>Q143*V143</f>
        <v>0</v>
      </c>
      <c r="AX143" t="n">
        <f>E143*W143</f>
        <v>0</v>
      </c>
      <c r="AY143" t="n">
        <f>F143*W143</f>
        <v>0</v>
      </c>
      <c r="AZ143" t="n">
        <f>G143*W143</f>
        <v>0</v>
      </c>
      <c r="BA143" t="n">
        <f>H143*W143</f>
        <v>0</v>
      </c>
      <c r="BB143" t="n">
        <f>I143*W143</f>
        <v>0</v>
      </c>
      <c r="BC143" t="n">
        <f>J143*W143</f>
        <v>0</v>
      </c>
      <c r="BD143" t="n">
        <f>K143*W143</f>
        <v>0</v>
      </c>
      <c r="BE143" t="n">
        <f>L143*W143</f>
        <v>0</v>
      </c>
      <c r="BF143" t="n">
        <f>M143*W143</f>
        <v>0</v>
      </c>
      <c r="BG143" t="n">
        <f>N143*W143</f>
        <v>0</v>
      </c>
      <c r="BH143" t="n">
        <f>O143*W143</f>
        <v>0</v>
      </c>
      <c r="BI143" t="n">
        <f>P143*W143</f>
        <v>0</v>
      </c>
      <c r="BJ143" t="n">
        <f>Q143*W143</f>
        <v>0</v>
      </c>
    </row>
    <row r="144">
      <c r="A144" t="n">
        <f>Charges!A144</f>
        <v>0</v>
      </c>
      <c r="B144" t="n">
        <f>Charges!C144</f>
        <v>0</v>
      </c>
      <c r="C144" t="str">
        <f>Charges!D144</f>
        <v/>
      </c>
      <c r="E144" t="n">
        <f>IF(1&lt;=Paramètres!$B$9,MAX(0,IFERROR(N(IF(ISNUMBER(Charges!F144),MAX(0,Charges!F144),IFERROR(VLOOKUP(Charges!F144,Paramètres!$A$15:$B$18,2,FALSE),0))),0)),0)</f>
        <v>0</v>
      </c>
      <c r="F144" t="n">
        <f>IF(2&lt;=Paramètres!$B$9,MAX(0,IFERROR(N(IF(ISNUMBER(Charges!G144),MAX(0,Charges!G144),IFERROR(VLOOKUP(Charges!G144,Paramètres!$A$15:$B$18,2,FALSE),0))),0)),0)</f>
        <v>0</v>
      </c>
      <c r="G144" t="n">
        <f>IF(3&lt;=Paramètres!$B$9,MAX(0,IFERROR(N(IF(ISNUMBER(Charges!H144),MAX(0,Charges!H144),IFERROR(VLOOKUP(Charges!H144,Paramètres!$A$15:$B$18,2,FALSE),0))),0)),0)</f>
        <v>0</v>
      </c>
      <c r="H144" t="n">
        <f>IF(4&lt;=Paramètres!$B$9,MAX(0,IFERROR(N(IF(ISNUMBER(Charges!I144),MAX(0,Charges!I144),IFERROR(VLOOKUP(Charges!I144,Paramètres!$A$15:$B$18,2,FALSE),0))),0)),0)</f>
        <v>0</v>
      </c>
      <c r="I144" t="n">
        <f>IF(5&lt;=Paramètres!$B$9,MAX(0,IFERROR(N(IF(ISNUMBER(Charges!J144),MAX(0,Charges!J144),IFERROR(VLOOKUP(Charges!J144,Paramètres!$A$15:$B$18,2,FALSE),0))),0)),0)</f>
        <v>0</v>
      </c>
      <c r="J144" t="n">
        <f>IF(6&lt;=Paramètres!$B$9,MAX(0,IFERROR(N(IF(ISNUMBER(Charges!K144),MAX(0,Charges!K144),IFERROR(VLOOKUP(Charges!K144,Paramètres!$A$15:$B$18,2,FALSE),0))),0)),0)</f>
        <v>0</v>
      </c>
      <c r="K144" t="n">
        <f>IF(7&lt;=Paramètres!$B$9,MAX(0,IFERROR(N(IF(ISNUMBER(Charges!L144),MAX(0,Charges!L144),IFERROR(VLOOKUP(Charges!L144,Paramètres!$A$15:$B$18,2,FALSE),0))),0)),0)</f>
        <v>0</v>
      </c>
      <c r="L144" t="n">
        <f>IF(8&lt;=Paramètres!$B$9,MAX(0,IFERROR(N(IF(ISNUMBER(Charges!M144),MAX(0,Charges!M144),IFERROR(VLOOKUP(Charges!M144,Paramètres!$A$15:$B$18,2,FALSE),0))),0)),0)</f>
        <v>0</v>
      </c>
      <c r="M144" t="n">
        <f>IF(9&lt;=Paramètres!$B$9,MAX(0,IFERROR(N(IF(ISNUMBER(Charges!N144),MAX(0,Charges!N144),IFERROR(VLOOKUP(Charges!N144,Paramètres!$A$15:$B$18,2,FALSE),0))),0)),0)</f>
        <v>0</v>
      </c>
      <c r="N144" t="n">
        <f>IF(10&lt;=Paramètres!$B$9,MAX(0,IFERROR(N(IF(ISNUMBER(Charges!O144),MAX(0,Charges!O144),IFERROR(VLOOKUP(Charges!O144,Paramètres!$A$15:$B$18,2,FALSE),0))),0)),0)</f>
        <v>0</v>
      </c>
      <c r="O144" t="n">
        <f>IF(11&lt;=Paramètres!$B$9,MAX(0,IFERROR(N(IF(ISNUMBER(Charges!P144),MAX(0,Charges!P144),IFERROR(VLOOKUP(Charges!P144,Paramètres!$A$15:$B$18,2,FALSE),0))),0)),0)</f>
        <v>0</v>
      </c>
      <c r="P144" t="n">
        <f>IF(12&lt;=Paramètres!$B$9,MAX(0,IFERROR(N(IF(ISNUMBER(Charges!Q144),MAX(0,Charges!Q144),IFERROR(VLOOKUP(Charges!Q144,Paramètres!$A$15:$B$18,2,FALSE),0))),0)),0)</f>
        <v>0</v>
      </c>
      <c r="Q144" t="n">
        <f>IF(13&lt;=Paramètres!$B$9,MAX(0,IFERROR(N(IF(ISNUMBER(Charges!R144),MAX(0,Charges!R144),IFERROR(VLOOKUP(Charges!R144,Paramètres!$A$15:$B$18,2,FALSE),0))),0)),0)</f>
        <v>0</v>
      </c>
      <c r="R144" t="n">
        <f>SUM(E144:Q144)</f>
        <v>0</v>
      </c>
      <c r="S144" t="n">
        <f>IF(IFERROR(VLOOKUP(A144,'Projets'!$A$8:$Z$67,7,FALSE),"")="Engager",1,0)</f>
        <v>0</v>
      </c>
      <c r="T144" t="n">
        <f>IF(OR(Charges!F144="",AND(ISNUMBER(Charges!F144),Charges!F144&gt;=0),Charges!F144="S",Charges!F144="M",Charges!F144="L",Charges!F144="XL"),0,1)+IF(OR(Charges!G144="",AND(ISNUMBER(Charges!G144),Charges!G144&gt;=0),Charges!G144="S",Charges!G144="M",Charges!G144="L",Charges!G144="XL"),0,1)+IF(OR(Charges!H144="",AND(ISNUMBER(Charges!H144),Charges!H144&gt;=0),Charges!H144="S",Charges!H144="M",Charges!H144="L",Charges!H144="XL"),0,1)+IF(OR(Charges!I144="",AND(ISNUMBER(Charges!I144),Charges!I144&gt;=0),Charges!I144="S",Charges!I144="M",Charges!I144="L",Charges!I144="XL"),0,1)+IF(OR(Charges!J144="",AND(ISNUMBER(Charges!J144),Charges!J144&gt;=0),Charges!J144="S",Charges!J144="M",Charges!J144="L",Charges!J144="XL"),0,1)+IF(OR(Charges!K144="",AND(ISNUMBER(Charges!K144),Charges!K144&gt;=0),Charges!K144="S",Charges!K144="M",Charges!K144="L",Charges!K144="XL"),0,1)+IF(OR(Charges!L144="",AND(ISNUMBER(Charges!L144),Charges!L144&gt;=0),Charges!L144="S",Charges!L144="M",Charges!L144="L",Charges!L144="XL"),0,1)+IF(OR(Charges!M144="",AND(ISNUMBER(Charges!M144),Charges!M144&gt;=0),Charges!M144="S",Charges!M144="M",Charges!M144="L",Charges!M144="XL"),0,1)+IF(OR(Charges!N144="",AND(ISNUMBER(Charges!N144),Charges!N144&gt;=0),Charges!N144="S",Charges!N144="M",Charges!N144="L",Charges!N144="XL"),0,1)+IF(OR(Charges!O144="",AND(ISNUMBER(Charges!O144),Charges!O144&gt;=0),Charges!O144="S",Charges!O144="M",Charges!O144="L",Charges!O144="XL"),0,1)+IF(OR(Charges!P144="",AND(ISNUMBER(Charges!P144),Charges!P144&gt;=0),Charges!P144="S",Charges!P144="M",Charges!P144="L",Charges!P144="XL"),0,1)+IF(OR(Charges!Q144="",AND(ISNUMBER(Charges!Q144),Charges!Q144&gt;=0),Charges!Q144="S",Charges!Q144="M",Charges!Q144="L",Charges!Q144="XL"),0,1)+IF(OR(Charges!R144="",AND(ISNUMBER(Charges!R144),Charges!R144&gt;=0),Charges!R144="S",Charges!R144="M",Charges!R144="L",Charges!R144="XL"),0,1)</f>
        <v>0</v>
      </c>
      <c r="U144" t="n">
        <f>IF(AND(1&gt;Paramètres!$B$9,Charges!F144&lt;&gt;"",Charges!F144&lt;&gt;0),1,0)+IF(AND(2&gt;Paramètres!$B$9,Charges!G144&lt;&gt;"",Charges!G144&lt;&gt;0),1,0)+IF(AND(3&gt;Paramètres!$B$9,Charges!H144&lt;&gt;"",Charges!H144&lt;&gt;0),1,0)+IF(AND(4&gt;Paramètres!$B$9,Charges!I144&lt;&gt;"",Charges!I144&lt;&gt;0),1,0)+IF(AND(5&gt;Paramètres!$B$9,Charges!J144&lt;&gt;"",Charges!J144&lt;&gt;0),1,0)+IF(AND(6&gt;Paramètres!$B$9,Charges!K144&lt;&gt;"",Charges!K144&lt;&gt;0),1,0)+IF(AND(7&gt;Paramètres!$B$9,Charges!L144&lt;&gt;"",Charges!L144&lt;&gt;0),1,0)+IF(AND(8&gt;Paramètres!$B$9,Charges!M144&lt;&gt;"",Charges!M144&lt;&gt;0),1,0)+IF(AND(9&gt;Paramètres!$B$9,Charges!N144&lt;&gt;"",Charges!N144&lt;&gt;0),1,0)+IF(AND(10&gt;Paramètres!$B$9,Charges!O144&lt;&gt;"",Charges!O144&lt;&gt;0),1,0)+IF(AND(11&gt;Paramètres!$B$9,Charges!P144&lt;&gt;"",Charges!P144&lt;&gt;0),1,0)+IF(AND(12&gt;Paramètres!$B$9,Charges!Q144&lt;&gt;"",Charges!Q144&lt;&gt;0),1,0)+IF(AND(13&gt;Paramètres!$B$9,Charges!R144&lt;&gt;"",Charges!R144&lt;&gt;0),1,0)</f>
        <v>0</v>
      </c>
      <c r="V144" t="n">
        <f>IF(IFERROR(VLOOKUP(A144,'Projets'!$A$8:$Z$67,5,FALSE),"")="Engager",1,0)</f>
        <v>0</v>
      </c>
      <c r="W144" t="n">
        <f>IF(IFERROR(VLOOKUP(A144,'Projets'!$A$8:$Z$67,6,FALSE),"")="Engager",1,0)</f>
        <v>0</v>
      </c>
      <c r="X144" t="n">
        <f>E144*S144</f>
        <v>0</v>
      </c>
      <c r="Y144" t="n">
        <f>F144*S144</f>
        <v>0</v>
      </c>
      <c r="Z144" t="n">
        <f>G144*S144</f>
        <v>0</v>
      </c>
      <c r="AA144" t="n">
        <f>H144*S144</f>
        <v>0</v>
      </c>
      <c r="AB144" t="n">
        <f>I144*S144</f>
        <v>0</v>
      </c>
      <c r="AC144" t="n">
        <f>J144*S144</f>
        <v>0</v>
      </c>
      <c r="AD144" t="n">
        <f>K144*S144</f>
        <v>0</v>
      </c>
      <c r="AE144" t="n">
        <f>L144*S144</f>
        <v>0</v>
      </c>
      <c r="AF144" t="n">
        <f>M144*S144</f>
        <v>0</v>
      </c>
      <c r="AG144" t="n">
        <f>N144*S144</f>
        <v>0</v>
      </c>
      <c r="AH144" t="n">
        <f>O144*S144</f>
        <v>0</v>
      </c>
      <c r="AI144" t="n">
        <f>P144*S144</f>
        <v>0</v>
      </c>
      <c r="AJ144" t="n">
        <f>Q144*S144</f>
        <v>0</v>
      </c>
      <c r="AK144" t="n">
        <f>E144*V144</f>
        <v>0</v>
      </c>
      <c r="AL144" t="n">
        <f>F144*V144</f>
        <v>0</v>
      </c>
      <c r="AM144" t="n">
        <f>G144*V144</f>
        <v>0</v>
      </c>
      <c r="AN144" t="n">
        <f>H144*V144</f>
        <v>0</v>
      </c>
      <c r="AO144" t="n">
        <f>I144*V144</f>
        <v>0</v>
      </c>
      <c r="AP144" t="n">
        <f>J144*V144</f>
        <v>0</v>
      </c>
      <c r="AQ144" t="n">
        <f>K144*V144</f>
        <v>0</v>
      </c>
      <c r="AR144" t="n">
        <f>L144*V144</f>
        <v>0</v>
      </c>
      <c r="AS144" t="n">
        <f>M144*V144</f>
        <v>0</v>
      </c>
      <c r="AT144" t="n">
        <f>N144*V144</f>
        <v>0</v>
      </c>
      <c r="AU144" t="n">
        <f>O144*V144</f>
        <v>0</v>
      </c>
      <c r="AV144" t="n">
        <f>P144*V144</f>
        <v>0</v>
      </c>
      <c r="AW144" t="n">
        <f>Q144*V144</f>
        <v>0</v>
      </c>
      <c r="AX144" t="n">
        <f>E144*W144</f>
        <v>0</v>
      </c>
      <c r="AY144" t="n">
        <f>F144*W144</f>
        <v>0</v>
      </c>
      <c r="AZ144" t="n">
        <f>G144*W144</f>
        <v>0</v>
      </c>
      <c r="BA144" t="n">
        <f>H144*W144</f>
        <v>0</v>
      </c>
      <c r="BB144" t="n">
        <f>I144*W144</f>
        <v>0</v>
      </c>
      <c r="BC144" t="n">
        <f>J144*W144</f>
        <v>0</v>
      </c>
      <c r="BD144" t="n">
        <f>K144*W144</f>
        <v>0</v>
      </c>
      <c r="BE144" t="n">
        <f>L144*W144</f>
        <v>0</v>
      </c>
      <c r="BF144" t="n">
        <f>M144*W144</f>
        <v>0</v>
      </c>
      <c r="BG144" t="n">
        <f>N144*W144</f>
        <v>0</v>
      </c>
      <c r="BH144" t="n">
        <f>O144*W144</f>
        <v>0</v>
      </c>
      <c r="BI144" t="n">
        <f>P144*W144</f>
        <v>0</v>
      </c>
      <c r="BJ144" t="n">
        <f>Q144*W144</f>
        <v>0</v>
      </c>
    </row>
    <row r="145">
      <c r="A145" t="n">
        <f>Charges!A145</f>
        <v>0</v>
      </c>
      <c r="B145" t="n">
        <f>Charges!C145</f>
        <v>0</v>
      </c>
      <c r="C145" t="str">
        <f>Charges!D145</f>
        <v/>
      </c>
      <c r="E145" t="n">
        <f>IF(1&lt;=Paramètres!$B$9,MAX(0,IFERROR(N(IF(ISNUMBER(Charges!F145),MAX(0,Charges!F145),IFERROR(VLOOKUP(Charges!F145,Paramètres!$A$15:$B$18,2,FALSE),0))),0)),0)</f>
        <v>0</v>
      </c>
      <c r="F145" t="n">
        <f>IF(2&lt;=Paramètres!$B$9,MAX(0,IFERROR(N(IF(ISNUMBER(Charges!G145),MAX(0,Charges!G145),IFERROR(VLOOKUP(Charges!G145,Paramètres!$A$15:$B$18,2,FALSE),0))),0)),0)</f>
        <v>0</v>
      </c>
      <c r="G145" t="n">
        <f>IF(3&lt;=Paramètres!$B$9,MAX(0,IFERROR(N(IF(ISNUMBER(Charges!H145),MAX(0,Charges!H145),IFERROR(VLOOKUP(Charges!H145,Paramètres!$A$15:$B$18,2,FALSE),0))),0)),0)</f>
        <v>0</v>
      </c>
      <c r="H145" t="n">
        <f>IF(4&lt;=Paramètres!$B$9,MAX(0,IFERROR(N(IF(ISNUMBER(Charges!I145),MAX(0,Charges!I145),IFERROR(VLOOKUP(Charges!I145,Paramètres!$A$15:$B$18,2,FALSE),0))),0)),0)</f>
        <v>0</v>
      </c>
      <c r="I145" t="n">
        <f>IF(5&lt;=Paramètres!$B$9,MAX(0,IFERROR(N(IF(ISNUMBER(Charges!J145),MAX(0,Charges!J145),IFERROR(VLOOKUP(Charges!J145,Paramètres!$A$15:$B$18,2,FALSE),0))),0)),0)</f>
        <v>0</v>
      </c>
      <c r="J145" t="n">
        <f>IF(6&lt;=Paramètres!$B$9,MAX(0,IFERROR(N(IF(ISNUMBER(Charges!K145),MAX(0,Charges!K145),IFERROR(VLOOKUP(Charges!K145,Paramètres!$A$15:$B$18,2,FALSE),0))),0)),0)</f>
        <v>0</v>
      </c>
      <c r="K145" t="n">
        <f>IF(7&lt;=Paramètres!$B$9,MAX(0,IFERROR(N(IF(ISNUMBER(Charges!L145),MAX(0,Charges!L145),IFERROR(VLOOKUP(Charges!L145,Paramètres!$A$15:$B$18,2,FALSE),0))),0)),0)</f>
        <v>0</v>
      </c>
      <c r="L145" t="n">
        <f>IF(8&lt;=Paramètres!$B$9,MAX(0,IFERROR(N(IF(ISNUMBER(Charges!M145),MAX(0,Charges!M145),IFERROR(VLOOKUP(Charges!M145,Paramètres!$A$15:$B$18,2,FALSE),0))),0)),0)</f>
        <v>0</v>
      </c>
      <c r="M145" t="n">
        <f>IF(9&lt;=Paramètres!$B$9,MAX(0,IFERROR(N(IF(ISNUMBER(Charges!N145),MAX(0,Charges!N145),IFERROR(VLOOKUP(Charges!N145,Paramètres!$A$15:$B$18,2,FALSE),0))),0)),0)</f>
        <v>0</v>
      </c>
      <c r="N145" t="n">
        <f>IF(10&lt;=Paramètres!$B$9,MAX(0,IFERROR(N(IF(ISNUMBER(Charges!O145),MAX(0,Charges!O145),IFERROR(VLOOKUP(Charges!O145,Paramètres!$A$15:$B$18,2,FALSE),0))),0)),0)</f>
        <v>0</v>
      </c>
      <c r="O145" t="n">
        <f>IF(11&lt;=Paramètres!$B$9,MAX(0,IFERROR(N(IF(ISNUMBER(Charges!P145),MAX(0,Charges!P145),IFERROR(VLOOKUP(Charges!P145,Paramètres!$A$15:$B$18,2,FALSE),0))),0)),0)</f>
        <v>0</v>
      </c>
      <c r="P145" t="n">
        <f>IF(12&lt;=Paramètres!$B$9,MAX(0,IFERROR(N(IF(ISNUMBER(Charges!Q145),MAX(0,Charges!Q145),IFERROR(VLOOKUP(Charges!Q145,Paramètres!$A$15:$B$18,2,FALSE),0))),0)),0)</f>
        <v>0</v>
      </c>
      <c r="Q145" t="n">
        <f>IF(13&lt;=Paramètres!$B$9,MAX(0,IFERROR(N(IF(ISNUMBER(Charges!R145),MAX(0,Charges!R145),IFERROR(VLOOKUP(Charges!R145,Paramètres!$A$15:$B$18,2,FALSE),0))),0)),0)</f>
        <v>0</v>
      </c>
      <c r="R145" t="n">
        <f>SUM(E145:Q145)</f>
        <v>0</v>
      </c>
      <c r="S145" t="n">
        <f>IF(IFERROR(VLOOKUP(A145,'Projets'!$A$8:$Z$67,7,FALSE),"")="Engager",1,0)</f>
        <v>0</v>
      </c>
      <c r="T145" t="n">
        <f>IF(OR(Charges!F145="",AND(ISNUMBER(Charges!F145),Charges!F145&gt;=0),Charges!F145="S",Charges!F145="M",Charges!F145="L",Charges!F145="XL"),0,1)+IF(OR(Charges!G145="",AND(ISNUMBER(Charges!G145),Charges!G145&gt;=0),Charges!G145="S",Charges!G145="M",Charges!G145="L",Charges!G145="XL"),0,1)+IF(OR(Charges!H145="",AND(ISNUMBER(Charges!H145),Charges!H145&gt;=0),Charges!H145="S",Charges!H145="M",Charges!H145="L",Charges!H145="XL"),0,1)+IF(OR(Charges!I145="",AND(ISNUMBER(Charges!I145),Charges!I145&gt;=0),Charges!I145="S",Charges!I145="M",Charges!I145="L",Charges!I145="XL"),0,1)+IF(OR(Charges!J145="",AND(ISNUMBER(Charges!J145),Charges!J145&gt;=0),Charges!J145="S",Charges!J145="M",Charges!J145="L",Charges!J145="XL"),0,1)+IF(OR(Charges!K145="",AND(ISNUMBER(Charges!K145),Charges!K145&gt;=0),Charges!K145="S",Charges!K145="M",Charges!K145="L",Charges!K145="XL"),0,1)+IF(OR(Charges!L145="",AND(ISNUMBER(Charges!L145),Charges!L145&gt;=0),Charges!L145="S",Charges!L145="M",Charges!L145="L",Charges!L145="XL"),0,1)+IF(OR(Charges!M145="",AND(ISNUMBER(Charges!M145),Charges!M145&gt;=0),Charges!M145="S",Charges!M145="M",Charges!M145="L",Charges!M145="XL"),0,1)+IF(OR(Charges!N145="",AND(ISNUMBER(Charges!N145),Charges!N145&gt;=0),Charges!N145="S",Charges!N145="M",Charges!N145="L",Charges!N145="XL"),0,1)+IF(OR(Charges!O145="",AND(ISNUMBER(Charges!O145),Charges!O145&gt;=0),Charges!O145="S",Charges!O145="M",Charges!O145="L",Charges!O145="XL"),0,1)+IF(OR(Charges!P145="",AND(ISNUMBER(Charges!P145),Charges!P145&gt;=0),Charges!P145="S",Charges!P145="M",Charges!P145="L",Charges!P145="XL"),0,1)+IF(OR(Charges!Q145="",AND(ISNUMBER(Charges!Q145),Charges!Q145&gt;=0),Charges!Q145="S",Charges!Q145="M",Charges!Q145="L",Charges!Q145="XL"),0,1)+IF(OR(Charges!R145="",AND(ISNUMBER(Charges!R145),Charges!R145&gt;=0),Charges!R145="S",Charges!R145="M",Charges!R145="L",Charges!R145="XL"),0,1)</f>
        <v>0</v>
      </c>
      <c r="U145" t="n">
        <f>IF(AND(1&gt;Paramètres!$B$9,Charges!F145&lt;&gt;"",Charges!F145&lt;&gt;0),1,0)+IF(AND(2&gt;Paramètres!$B$9,Charges!G145&lt;&gt;"",Charges!G145&lt;&gt;0),1,0)+IF(AND(3&gt;Paramètres!$B$9,Charges!H145&lt;&gt;"",Charges!H145&lt;&gt;0),1,0)+IF(AND(4&gt;Paramètres!$B$9,Charges!I145&lt;&gt;"",Charges!I145&lt;&gt;0),1,0)+IF(AND(5&gt;Paramètres!$B$9,Charges!J145&lt;&gt;"",Charges!J145&lt;&gt;0),1,0)+IF(AND(6&gt;Paramètres!$B$9,Charges!K145&lt;&gt;"",Charges!K145&lt;&gt;0),1,0)+IF(AND(7&gt;Paramètres!$B$9,Charges!L145&lt;&gt;"",Charges!L145&lt;&gt;0),1,0)+IF(AND(8&gt;Paramètres!$B$9,Charges!M145&lt;&gt;"",Charges!M145&lt;&gt;0),1,0)+IF(AND(9&gt;Paramètres!$B$9,Charges!N145&lt;&gt;"",Charges!N145&lt;&gt;0),1,0)+IF(AND(10&gt;Paramètres!$B$9,Charges!O145&lt;&gt;"",Charges!O145&lt;&gt;0),1,0)+IF(AND(11&gt;Paramètres!$B$9,Charges!P145&lt;&gt;"",Charges!P145&lt;&gt;0),1,0)+IF(AND(12&gt;Paramètres!$B$9,Charges!Q145&lt;&gt;"",Charges!Q145&lt;&gt;0),1,0)+IF(AND(13&gt;Paramètres!$B$9,Charges!R145&lt;&gt;"",Charges!R145&lt;&gt;0),1,0)</f>
        <v>0</v>
      </c>
      <c r="V145" t="n">
        <f>IF(IFERROR(VLOOKUP(A145,'Projets'!$A$8:$Z$67,5,FALSE),"")="Engager",1,0)</f>
        <v>0</v>
      </c>
      <c r="W145" t="n">
        <f>IF(IFERROR(VLOOKUP(A145,'Projets'!$A$8:$Z$67,6,FALSE),"")="Engager",1,0)</f>
        <v>0</v>
      </c>
      <c r="X145" t="n">
        <f>E145*S145</f>
        <v>0</v>
      </c>
      <c r="Y145" t="n">
        <f>F145*S145</f>
        <v>0</v>
      </c>
      <c r="Z145" t="n">
        <f>G145*S145</f>
        <v>0</v>
      </c>
      <c r="AA145" t="n">
        <f>H145*S145</f>
        <v>0</v>
      </c>
      <c r="AB145" t="n">
        <f>I145*S145</f>
        <v>0</v>
      </c>
      <c r="AC145" t="n">
        <f>J145*S145</f>
        <v>0</v>
      </c>
      <c r="AD145" t="n">
        <f>K145*S145</f>
        <v>0</v>
      </c>
      <c r="AE145" t="n">
        <f>L145*S145</f>
        <v>0</v>
      </c>
      <c r="AF145" t="n">
        <f>M145*S145</f>
        <v>0</v>
      </c>
      <c r="AG145" t="n">
        <f>N145*S145</f>
        <v>0</v>
      </c>
      <c r="AH145" t="n">
        <f>O145*S145</f>
        <v>0</v>
      </c>
      <c r="AI145" t="n">
        <f>P145*S145</f>
        <v>0</v>
      </c>
      <c r="AJ145" t="n">
        <f>Q145*S145</f>
        <v>0</v>
      </c>
      <c r="AK145" t="n">
        <f>E145*V145</f>
        <v>0</v>
      </c>
      <c r="AL145" t="n">
        <f>F145*V145</f>
        <v>0</v>
      </c>
      <c r="AM145" t="n">
        <f>G145*V145</f>
        <v>0</v>
      </c>
      <c r="AN145" t="n">
        <f>H145*V145</f>
        <v>0</v>
      </c>
      <c r="AO145" t="n">
        <f>I145*V145</f>
        <v>0</v>
      </c>
      <c r="AP145" t="n">
        <f>J145*V145</f>
        <v>0</v>
      </c>
      <c r="AQ145" t="n">
        <f>K145*V145</f>
        <v>0</v>
      </c>
      <c r="AR145" t="n">
        <f>L145*V145</f>
        <v>0</v>
      </c>
      <c r="AS145" t="n">
        <f>M145*V145</f>
        <v>0</v>
      </c>
      <c r="AT145" t="n">
        <f>N145*V145</f>
        <v>0</v>
      </c>
      <c r="AU145" t="n">
        <f>O145*V145</f>
        <v>0</v>
      </c>
      <c r="AV145" t="n">
        <f>P145*V145</f>
        <v>0</v>
      </c>
      <c r="AW145" t="n">
        <f>Q145*V145</f>
        <v>0</v>
      </c>
      <c r="AX145" t="n">
        <f>E145*W145</f>
        <v>0</v>
      </c>
      <c r="AY145" t="n">
        <f>F145*W145</f>
        <v>0</v>
      </c>
      <c r="AZ145" t="n">
        <f>G145*W145</f>
        <v>0</v>
      </c>
      <c r="BA145" t="n">
        <f>H145*W145</f>
        <v>0</v>
      </c>
      <c r="BB145" t="n">
        <f>I145*W145</f>
        <v>0</v>
      </c>
      <c r="BC145" t="n">
        <f>J145*W145</f>
        <v>0</v>
      </c>
      <c r="BD145" t="n">
        <f>K145*W145</f>
        <v>0</v>
      </c>
      <c r="BE145" t="n">
        <f>L145*W145</f>
        <v>0</v>
      </c>
      <c r="BF145" t="n">
        <f>M145*W145</f>
        <v>0</v>
      </c>
      <c r="BG145" t="n">
        <f>N145*W145</f>
        <v>0</v>
      </c>
      <c r="BH145" t="n">
        <f>O145*W145</f>
        <v>0</v>
      </c>
      <c r="BI145" t="n">
        <f>P145*W145</f>
        <v>0</v>
      </c>
      <c r="BJ145" t="n">
        <f>Q145*W145</f>
        <v>0</v>
      </c>
    </row>
    <row r="146">
      <c r="A146" t="n">
        <f>Charges!A146</f>
        <v>0</v>
      </c>
      <c r="B146" t="n">
        <f>Charges!C146</f>
        <v>0</v>
      </c>
      <c r="C146" t="str">
        <f>Charges!D146</f>
        <v/>
      </c>
      <c r="E146" t="n">
        <f>IF(1&lt;=Paramètres!$B$9,MAX(0,IFERROR(N(IF(ISNUMBER(Charges!F146),MAX(0,Charges!F146),IFERROR(VLOOKUP(Charges!F146,Paramètres!$A$15:$B$18,2,FALSE),0))),0)),0)</f>
        <v>0</v>
      </c>
      <c r="F146" t="n">
        <f>IF(2&lt;=Paramètres!$B$9,MAX(0,IFERROR(N(IF(ISNUMBER(Charges!G146),MAX(0,Charges!G146),IFERROR(VLOOKUP(Charges!G146,Paramètres!$A$15:$B$18,2,FALSE),0))),0)),0)</f>
        <v>0</v>
      </c>
      <c r="G146" t="n">
        <f>IF(3&lt;=Paramètres!$B$9,MAX(0,IFERROR(N(IF(ISNUMBER(Charges!H146),MAX(0,Charges!H146),IFERROR(VLOOKUP(Charges!H146,Paramètres!$A$15:$B$18,2,FALSE),0))),0)),0)</f>
        <v>0</v>
      </c>
      <c r="H146" t="n">
        <f>IF(4&lt;=Paramètres!$B$9,MAX(0,IFERROR(N(IF(ISNUMBER(Charges!I146),MAX(0,Charges!I146),IFERROR(VLOOKUP(Charges!I146,Paramètres!$A$15:$B$18,2,FALSE),0))),0)),0)</f>
        <v>0</v>
      </c>
      <c r="I146" t="n">
        <f>IF(5&lt;=Paramètres!$B$9,MAX(0,IFERROR(N(IF(ISNUMBER(Charges!J146),MAX(0,Charges!J146),IFERROR(VLOOKUP(Charges!J146,Paramètres!$A$15:$B$18,2,FALSE),0))),0)),0)</f>
        <v>0</v>
      </c>
      <c r="J146" t="n">
        <f>IF(6&lt;=Paramètres!$B$9,MAX(0,IFERROR(N(IF(ISNUMBER(Charges!K146),MAX(0,Charges!K146),IFERROR(VLOOKUP(Charges!K146,Paramètres!$A$15:$B$18,2,FALSE),0))),0)),0)</f>
        <v>0</v>
      </c>
      <c r="K146" t="n">
        <f>IF(7&lt;=Paramètres!$B$9,MAX(0,IFERROR(N(IF(ISNUMBER(Charges!L146),MAX(0,Charges!L146),IFERROR(VLOOKUP(Charges!L146,Paramètres!$A$15:$B$18,2,FALSE),0))),0)),0)</f>
        <v>0</v>
      </c>
      <c r="L146" t="n">
        <f>IF(8&lt;=Paramètres!$B$9,MAX(0,IFERROR(N(IF(ISNUMBER(Charges!M146),MAX(0,Charges!M146),IFERROR(VLOOKUP(Charges!M146,Paramètres!$A$15:$B$18,2,FALSE),0))),0)),0)</f>
        <v>0</v>
      </c>
      <c r="M146" t="n">
        <f>IF(9&lt;=Paramètres!$B$9,MAX(0,IFERROR(N(IF(ISNUMBER(Charges!N146),MAX(0,Charges!N146),IFERROR(VLOOKUP(Charges!N146,Paramètres!$A$15:$B$18,2,FALSE),0))),0)),0)</f>
        <v>0</v>
      </c>
      <c r="N146" t="n">
        <f>IF(10&lt;=Paramètres!$B$9,MAX(0,IFERROR(N(IF(ISNUMBER(Charges!O146),MAX(0,Charges!O146),IFERROR(VLOOKUP(Charges!O146,Paramètres!$A$15:$B$18,2,FALSE),0))),0)),0)</f>
        <v>0</v>
      </c>
      <c r="O146" t="n">
        <f>IF(11&lt;=Paramètres!$B$9,MAX(0,IFERROR(N(IF(ISNUMBER(Charges!P146),MAX(0,Charges!P146),IFERROR(VLOOKUP(Charges!P146,Paramètres!$A$15:$B$18,2,FALSE),0))),0)),0)</f>
        <v>0</v>
      </c>
      <c r="P146" t="n">
        <f>IF(12&lt;=Paramètres!$B$9,MAX(0,IFERROR(N(IF(ISNUMBER(Charges!Q146),MAX(0,Charges!Q146),IFERROR(VLOOKUP(Charges!Q146,Paramètres!$A$15:$B$18,2,FALSE),0))),0)),0)</f>
        <v>0</v>
      </c>
      <c r="Q146" t="n">
        <f>IF(13&lt;=Paramètres!$B$9,MAX(0,IFERROR(N(IF(ISNUMBER(Charges!R146),MAX(0,Charges!R146),IFERROR(VLOOKUP(Charges!R146,Paramètres!$A$15:$B$18,2,FALSE),0))),0)),0)</f>
        <v>0</v>
      </c>
      <c r="R146" t="n">
        <f>SUM(E146:Q146)</f>
        <v>0</v>
      </c>
      <c r="S146" t="n">
        <f>IF(IFERROR(VLOOKUP(A146,'Projets'!$A$8:$Z$67,7,FALSE),"")="Engager",1,0)</f>
        <v>0</v>
      </c>
      <c r="T146" t="n">
        <f>IF(OR(Charges!F146="",AND(ISNUMBER(Charges!F146),Charges!F146&gt;=0),Charges!F146="S",Charges!F146="M",Charges!F146="L",Charges!F146="XL"),0,1)+IF(OR(Charges!G146="",AND(ISNUMBER(Charges!G146),Charges!G146&gt;=0),Charges!G146="S",Charges!G146="M",Charges!G146="L",Charges!G146="XL"),0,1)+IF(OR(Charges!H146="",AND(ISNUMBER(Charges!H146),Charges!H146&gt;=0),Charges!H146="S",Charges!H146="M",Charges!H146="L",Charges!H146="XL"),0,1)+IF(OR(Charges!I146="",AND(ISNUMBER(Charges!I146),Charges!I146&gt;=0),Charges!I146="S",Charges!I146="M",Charges!I146="L",Charges!I146="XL"),0,1)+IF(OR(Charges!J146="",AND(ISNUMBER(Charges!J146),Charges!J146&gt;=0),Charges!J146="S",Charges!J146="M",Charges!J146="L",Charges!J146="XL"),0,1)+IF(OR(Charges!K146="",AND(ISNUMBER(Charges!K146),Charges!K146&gt;=0),Charges!K146="S",Charges!K146="M",Charges!K146="L",Charges!K146="XL"),0,1)+IF(OR(Charges!L146="",AND(ISNUMBER(Charges!L146),Charges!L146&gt;=0),Charges!L146="S",Charges!L146="M",Charges!L146="L",Charges!L146="XL"),0,1)+IF(OR(Charges!M146="",AND(ISNUMBER(Charges!M146),Charges!M146&gt;=0),Charges!M146="S",Charges!M146="M",Charges!M146="L",Charges!M146="XL"),0,1)+IF(OR(Charges!N146="",AND(ISNUMBER(Charges!N146),Charges!N146&gt;=0),Charges!N146="S",Charges!N146="M",Charges!N146="L",Charges!N146="XL"),0,1)+IF(OR(Charges!O146="",AND(ISNUMBER(Charges!O146),Charges!O146&gt;=0),Charges!O146="S",Charges!O146="M",Charges!O146="L",Charges!O146="XL"),0,1)+IF(OR(Charges!P146="",AND(ISNUMBER(Charges!P146),Charges!P146&gt;=0),Charges!P146="S",Charges!P146="M",Charges!P146="L",Charges!P146="XL"),0,1)+IF(OR(Charges!Q146="",AND(ISNUMBER(Charges!Q146),Charges!Q146&gt;=0),Charges!Q146="S",Charges!Q146="M",Charges!Q146="L",Charges!Q146="XL"),0,1)+IF(OR(Charges!R146="",AND(ISNUMBER(Charges!R146),Charges!R146&gt;=0),Charges!R146="S",Charges!R146="M",Charges!R146="L",Charges!R146="XL"),0,1)</f>
        <v>0</v>
      </c>
      <c r="U146" t="n">
        <f>IF(AND(1&gt;Paramètres!$B$9,Charges!F146&lt;&gt;"",Charges!F146&lt;&gt;0),1,0)+IF(AND(2&gt;Paramètres!$B$9,Charges!G146&lt;&gt;"",Charges!G146&lt;&gt;0),1,0)+IF(AND(3&gt;Paramètres!$B$9,Charges!H146&lt;&gt;"",Charges!H146&lt;&gt;0),1,0)+IF(AND(4&gt;Paramètres!$B$9,Charges!I146&lt;&gt;"",Charges!I146&lt;&gt;0),1,0)+IF(AND(5&gt;Paramètres!$B$9,Charges!J146&lt;&gt;"",Charges!J146&lt;&gt;0),1,0)+IF(AND(6&gt;Paramètres!$B$9,Charges!K146&lt;&gt;"",Charges!K146&lt;&gt;0),1,0)+IF(AND(7&gt;Paramètres!$B$9,Charges!L146&lt;&gt;"",Charges!L146&lt;&gt;0),1,0)+IF(AND(8&gt;Paramètres!$B$9,Charges!M146&lt;&gt;"",Charges!M146&lt;&gt;0),1,0)+IF(AND(9&gt;Paramètres!$B$9,Charges!N146&lt;&gt;"",Charges!N146&lt;&gt;0),1,0)+IF(AND(10&gt;Paramètres!$B$9,Charges!O146&lt;&gt;"",Charges!O146&lt;&gt;0),1,0)+IF(AND(11&gt;Paramètres!$B$9,Charges!P146&lt;&gt;"",Charges!P146&lt;&gt;0),1,0)+IF(AND(12&gt;Paramètres!$B$9,Charges!Q146&lt;&gt;"",Charges!Q146&lt;&gt;0),1,0)+IF(AND(13&gt;Paramètres!$B$9,Charges!R146&lt;&gt;"",Charges!R146&lt;&gt;0),1,0)</f>
        <v>0</v>
      </c>
      <c r="V146" t="n">
        <f>IF(IFERROR(VLOOKUP(A146,'Projets'!$A$8:$Z$67,5,FALSE),"")="Engager",1,0)</f>
        <v>0</v>
      </c>
      <c r="W146" t="n">
        <f>IF(IFERROR(VLOOKUP(A146,'Projets'!$A$8:$Z$67,6,FALSE),"")="Engager",1,0)</f>
        <v>0</v>
      </c>
      <c r="X146" t="n">
        <f>E146*S146</f>
        <v>0</v>
      </c>
      <c r="Y146" t="n">
        <f>F146*S146</f>
        <v>0</v>
      </c>
      <c r="Z146" t="n">
        <f>G146*S146</f>
        <v>0</v>
      </c>
      <c r="AA146" t="n">
        <f>H146*S146</f>
        <v>0</v>
      </c>
      <c r="AB146" t="n">
        <f>I146*S146</f>
        <v>0</v>
      </c>
      <c r="AC146" t="n">
        <f>J146*S146</f>
        <v>0</v>
      </c>
      <c r="AD146" t="n">
        <f>K146*S146</f>
        <v>0</v>
      </c>
      <c r="AE146" t="n">
        <f>L146*S146</f>
        <v>0</v>
      </c>
      <c r="AF146" t="n">
        <f>M146*S146</f>
        <v>0</v>
      </c>
      <c r="AG146" t="n">
        <f>N146*S146</f>
        <v>0</v>
      </c>
      <c r="AH146" t="n">
        <f>O146*S146</f>
        <v>0</v>
      </c>
      <c r="AI146" t="n">
        <f>P146*S146</f>
        <v>0</v>
      </c>
      <c r="AJ146" t="n">
        <f>Q146*S146</f>
        <v>0</v>
      </c>
      <c r="AK146" t="n">
        <f>E146*V146</f>
        <v>0</v>
      </c>
      <c r="AL146" t="n">
        <f>F146*V146</f>
        <v>0</v>
      </c>
      <c r="AM146" t="n">
        <f>G146*V146</f>
        <v>0</v>
      </c>
      <c r="AN146" t="n">
        <f>H146*V146</f>
        <v>0</v>
      </c>
      <c r="AO146" t="n">
        <f>I146*V146</f>
        <v>0</v>
      </c>
      <c r="AP146" t="n">
        <f>J146*V146</f>
        <v>0</v>
      </c>
      <c r="AQ146" t="n">
        <f>K146*V146</f>
        <v>0</v>
      </c>
      <c r="AR146" t="n">
        <f>L146*V146</f>
        <v>0</v>
      </c>
      <c r="AS146" t="n">
        <f>M146*V146</f>
        <v>0</v>
      </c>
      <c r="AT146" t="n">
        <f>N146*V146</f>
        <v>0</v>
      </c>
      <c r="AU146" t="n">
        <f>O146*V146</f>
        <v>0</v>
      </c>
      <c r="AV146" t="n">
        <f>P146*V146</f>
        <v>0</v>
      </c>
      <c r="AW146" t="n">
        <f>Q146*V146</f>
        <v>0</v>
      </c>
      <c r="AX146" t="n">
        <f>E146*W146</f>
        <v>0</v>
      </c>
      <c r="AY146" t="n">
        <f>F146*W146</f>
        <v>0</v>
      </c>
      <c r="AZ146" t="n">
        <f>G146*W146</f>
        <v>0</v>
      </c>
      <c r="BA146" t="n">
        <f>H146*W146</f>
        <v>0</v>
      </c>
      <c r="BB146" t="n">
        <f>I146*W146</f>
        <v>0</v>
      </c>
      <c r="BC146" t="n">
        <f>J146*W146</f>
        <v>0</v>
      </c>
      <c r="BD146" t="n">
        <f>K146*W146</f>
        <v>0</v>
      </c>
      <c r="BE146" t="n">
        <f>L146*W146</f>
        <v>0</v>
      </c>
      <c r="BF146" t="n">
        <f>M146*W146</f>
        <v>0</v>
      </c>
      <c r="BG146" t="n">
        <f>N146*W146</f>
        <v>0</v>
      </c>
      <c r="BH146" t="n">
        <f>O146*W146</f>
        <v>0</v>
      </c>
      <c r="BI146" t="n">
        <f>P146*W146</f>
        <v>0</v>
      </c>
      <c r="BJ146" t="n">
        <f>Q146*W146</f>
        <v>0</v>
      </c>
    </row>
    <row r="147">
      <c r="A147" t="n">
        <f>Charges!A147</f>
        <v>0</v>
      </c>
      <c r="B147" t="n">
        <f>Charges!C147</f>
        <v>0</v>
      </c>
      <c r="C147" t="str">
        <f>Charges!D147</f>
        <v/>
      </c>
      <c r="E147" t="n">
        <f>IF(1&lt;=Paramètres!$B$9,MAX(0,IFERROR(N(IF(ISNUMBER(Charges!F147),MAX(0,Charges!F147),IFERROR(VLOOKUP(Charges!F147,Paramètres!$A$15:$B$18,2,FALSE),0))),0)),0)</f>
        <v>0</v>
      </c>
      <c r="F147" t="n">
        <f>IF(2&lt;=Paramètres!$B$9,MAX(0,IFERROR(N(IF(ISNUMBER(Charges!G147),MAX(0,Charges!G147),IFERROR(VLOOKUP(Charges!G147,Paramètres!$A$15:$B$18,2,FALSE),0))),0)),0)</f>
        <v>0</v>
      </c>
      <c r="G147" t="n">
        <f>IF(3&lt;=Paramètres!$B$9,MAX(0,IFERROR(N(IF(ISNUMBER(Charges!H147),MAX(0,Charges!H147),IFERROR(VLOOKUP(Charges!H147,Paramètres!$A$15:$B$18,2,FALSE),0))),0)),0)</f>
        <v>0</v>
      </c>
      <c r="H147" t="n">
        <f>IF(4&lt;=Paramètres!$B$9,MAX(0,IFERROR(N(IF(ISNUMBER(Charges!I147),MAX(0,Charges!I147),IFERROR(VLOOKUP(Charges!I147,Paramètres!$A$15:$B$18,2,FALSE),0))),0)),0)</f>
        <v>0</v>
      </c>
      <c r="I147" t="n">
        <f>IF(5&lt;=Paramètres!$B$9,MAX(0,IFERROR(N(IF(ISNUMBER(Charges!J147),MAX(0,Charges!J147),IFERROR(VLOOKUP(Charges!J147,Paramètres!$A$15:$B$18,2,FALSE),0))),0)),0)</f>
        <v>0</v>
      </c>
      <c r="J147" t="n">
        <f>IF(6&lt;=Paramètres!$B$9,MAX(0,IFERROR(N(IF(ISNUMBER(Charges!K147),MAX(0,Charges!K147),IFERROR(VLOOKUP(Charges!K147,Paramètres!$A$15:$B$18,2,FALSE),0))),0)),0)</f>
        <v>0</v>
      </c>
      <c r="K147" t="n">
        <f>IF(7&lt;=Paramètres!$B$9,MAX(0,IFERROR(N(IF(ISNUMBER(Charges!L147),MAX(0,Charges!L147),IFERROR(VLOOKUP(Charges!L147,Paramètres!$A$15:$B$18,2,FALSE),0))),0)),0)</f>
        <v>0</v>
      </c>
      <c r="L147" t="n">
        <f>IF(8&lt;=Paramètres!$B$9,MAX(0,IFERROR(N(IF(ISNUMBER(Charges!M147),MAX(0,Charges!M147),IFERROR(VLOOKUP(Charges!M147,Paramètres!$A$15:$B$18,2,FALSE),0))),0)),0)</f>
        <v>0</v>
      </c>
      <c r="M147" t="n">
        <f>IF(9&lt;=Paramètres!$B$9,MAX(0,IFERROR(N(IF(ISNUMBER(Charges!N147),MAX(0,Charges!N147),IFERROR(VLOOKUP(Charges!N147,Paramètres!$A$15:$B$18,2,FALSE),0))),0)),0)</f>
        <v>0</v>
      </c>
      <c r="N147" t="n">
        <f>IF(10&lt;=Paramètres!$B$9,MAX(0,IFERROR(N(IF(ISNUMBER(Charges!O147),MAX(0,Charges!O147),IFERROR(VLOOKUP(Charges!O147,Paramètres!$A$15:$B$18,2,FALSE),0))),0)),0)</f>
        <v>0</v>
      </c>
      <c r="O147" t="n">
        <f>IF(11&lt;=Paramètres!$B$9,MAX(0,IFERROR(N(IF(ISNUMBER(Charges!P147),MAX(0,Charges!P147),IFERROR(VLOOKUP(Charges!P147,Paramètres!$A$15:$B$18,2,FALSE),0))),0)),0)</f>
        <v>0</v>
      </c>
      <c r="P147" t="n">
        <f>IF(12&lt;=Paramètres!$B$9,MAX(0,IFERROR(N(IF(ISNUMBER(Charges!Q147),MAX(0,Charges!Q147),IFERROR(VLOOKUP(Charges!Q147,Paramètres!$A$15:$B$18,2,FALSE),0))),0)),0)</f>
        <v>0</v>
      </c>
      <c r="Q147" t="n">
        <f>IF(13&lt;=Paramètres!$B$9,MAX(0,IFERROR(N(IF(ISNUMBER(Charges!R147),MAX(0,Charges!R147),IFERROR(VLOOKUP(Charges!R147,Paramètres!$A$15:$B$18,2,FALSE),0))),0)),0)</f>
        <v>0</v>
      </c>
      <c r="R147" t="n">
        <f>SUM(E147:Q147)</f>
        <v>0</v>
      </c>
      <c r="S147" t="n">
        <f>IF(IFERROR(VLOOKUP(A147,'Projets'!$A$8:$Z$67,7,FALSE),"")="Engager",1,0)</f>
        <v>0</v>
      </c>
      <c r="T147" t="n">
        <f>IF(OR(Charges!F147="",AND(ISNUMBER(Charges!F147),Charges!F147&gt;=0),Charges!F147="S",Charges!F147="M",Charges!F147="L",Charges!F147="XL"),0,1)+IF(OR(Charges!G147="",AND(ISNUMBER(Charges!G147),Charges!G147&gt;=0),Charges!G147="S",Charges!G147="M",Charges!G147="L",Charges!G147="XL"),0,1)+IF(OR(Charges!H147="",AND(ISNUMBER(Charges!H147),Charges!H147&gt;=0),Charges!H147="S",Charges!H147="M",Charges!H147="L",Charges!H147="XL"),0,1)+IF(OR(Charges!I147="",AND(ISNUMBER(Charges!I147),Charges!I147&gt;=0),Charges!I147="S",Charges!I147="M",Charges!I147="L",Charges!I147="XL"),0,1)+IF(OR(Charges!J147="",AND(ISNUMBER(Charges!J147),Charges!J147&gt;=0),Charges!J147="S",Charges!J147="M",Charges!J147="L",Charges!J147="XL"),0,1)+IF(OR(Charges!K147="",AND(ISNUMBER(Charges!K147),Charges!K147&gt;=0),Charges!K147="S",Charges!K147="M",Charges!K147="L",Charges!K147="XL"),0,1)+IF(OR(Charges!L147="",AND(ISNUMBER(Charges!L147),Charges!L147&gt;=0),Charges!L147="S",Charges!L147="M",Charges!L147="L",Charges!L147="XL"),0,1)+IF(OR(Charges!M147="",AND(ISNUMBER(Charges!M147),Charges!M147&gt;=0),Charges!M147="S",Charges!M147="M",Charges!M147="L",Charges!M147="XL"),0,1)+IF(OR(Charges!N147="",AND(ISNUMBER(Charges!N147),Charges!N147&gt;=0),Charges!N147="S",Charges!N147="M",Charges!N147="L",Charges!N147="XL"),0,1)+IF(OR(Charges!O147="",AND(ISNUMBER(Charges!O147),Charges!O147&gt;=0),Charges!O147="S",Charges!O147="M",Charges!O147="L",Charges!O147="XL"),0,1)+IF(OR(Charges!P147="",AND(ISNUMBER(Charges!P147),Charges!P147&gt;=0),Charges!P147="S",Charges!P147="M",Charges!P147="L",Charges!P147="XL"),0,1)+IF(OR(Charges!Q147="",AND(ISNUMBER(Charges!Q147),Charges!Q147&gt;=0),Charges!Q147="S",Charges!Q147="M",Charges!Q147="L",Charges!Q147="XL"),0,1)+IF(OR(Charges!R147="",AND(ISNUMBER(Charges!R147),Charges!R147&gt;=0),Charges!R147="S",Charges!R147="M",Charges!R147="L",Charges!R147="XL"),0,1)</f>
        <v>0</v>
      </c>
      <c r="U147" t="n">
        <f>IF(AND(1&gt;Paramètres!$B$9,Charges!F147&lt;&gt;"",Charges!F147&lt;&gt;0),1,0)+IF(AND(2&gt;Paramètres!$B$9,Charges!G147&lt;&gt;"",Charges!G147&lt;&gt;0),1,0)+IF(AND(3&gt;Paramètres!$B$9,Charges!H147&lt;&gt;"",Charges!H147&lt;&gt;0),1,0)+IF(AND(4&gt;Paramètres!$B$9,Charges!I147&lt;&gt;"",Charges!I147&lt;&gt;0),1,0)+IF(AND(5&gt;Paramètres!$B$9,Charges!J147&lt;&gt;"",Charges!J147&lt;&gt;0),1,0)+IF(AND(6&gt;Paramètres!$B$9,Charges!K147&lt;&gt;"",Charges!K147&lt;&gt;0),1,0)+IF(AND(7&gt;Paramètres!$B$9,Charges!L147&lt;&gt;"",Charges!L147&lt;&gt;0),1,0)+IF(AND(8&gt;Paramètres!$B$9,Charges!M147&lt;&gt;"",Charges!M147&lt;&gt;0),1,0)+IF(AND(9&gt;Paramètres!$B$9,Charges!N147&lt;&gt;"",Charges!N147&lt;&gt;0),1,0)+IF(AND(10&gt;Paramètres!$B$9,Charges!O147&lt;&gt;"",Charges!O147&lt;&gt;0),1,0)+IF(AND(11&gt;Paramètres!$B$9,Charges!P147&lt;&gt;"",Charges!P147&lt;&gt;0),1,0)+IF(AND(12&gt;Paramètres!$B$9,Charges!Q147&lt;&gt;"",Charges!Q147&lt;&gt;0),1,0)+IF(AND(13&gt;Paramètres!$B$9,Charges!R147&lt;&gt;"",Charges!R147&lt;&gt;0),1,0)</f>
        <v>0</v>
      </c>
      <c r="V147" t="n">
        <f>IF(IFERROR(VLOOKUP(A147,'Projets'!$A$8:$Z$67,5,FALSE),"")="Engager",1,0)</f>
        <v>0</v>
      </c>
      <c r="W147" t="n">
        <f>IF(IFERROR(VLOOKUP(A147,'Projets'!$A$8:$Z$67,6,FALSE),"")="Engager",1,0)</f>
        <v>0</v>
      </c>
      <c r="X147" t="n">
        <f>E147*S147</f>
        <v>0</v>
      </c>
      <c r="Y147" t="n">
        <f>F147*S147</f>
        <v>0</v>
      </c>
      <c r="Z147" t="n">
        <f>G147*S147</f>
        <v>0</v>
      </c>
      <c r="AA147" t="n">
        <f>H147*S147</f>
        <v>0</v>
      </c>
      <c r="AB147" t="n">
        <f>I147*S147</f>
        <v>0</v>
      </c>
      <c r="AC147" t="n">
        <f>J147*S147</f>
        <v>0</v>
      </c>
      <c r="AD147" t="n">
        <f>K147*S147</f>
        <v>0</v>
      </c>
      <c r="AE147" t="n">
        <f>L147*S147</f>
        <v>0</v>
      </c>
      <c r="AF147" t="n">
        <f>M147*S147</f>
        <v>0</v>
      </c>
      <c r="AG147" t="n">
        <f>N147*S147</f>
        <v>0</v>
      </c>
      <c r="AH147" t="n">
        <f>O147*S147</f>
        <v>0</v>
      </c>
      <c r="AI147" t="n">
        <f>P147*S147</f>
        <v>0</v>
      </c>
      <c r="AJ147" t="n">
        <f>Q147*S147</f>
        <v>0</v>
      </c>
      <c r="AK147" t="n">
        <f>E147*V147</f>
        <v>0</v>
      </c>
      <c r="AL147" t="n">
        <f>F147*V147</f>
        <v>0</v>
      </c>
      <c r="AM147" t="n">
        <f>G147*V147</f>
        <v>0</v>
      </c>
      <c r="AN147" t="n">
        <f>H147*V147</f>
        <v>0</v>
      </c>
      <c r="AO147" t="n">
        <f>I147*V147</f>
        <v>0</v>
      </c>
      <c r="AP147" t="n">
        <f>J147*V147</f>
        <v>0</v>
      </c>
      <c r="AQ147" t="n">
        <f>K147*V147</f>
        <v>0</v>
      </c>
      <c r="AR147" t="n">
        <f>L147*V147</f>
        <v>0</v>
      </c>
      <c r="AS147" t="n">
        <f>M147*V147</f>
        <v>0</v>
      </c>
      <c r="AT147" t="n">
        <f>N147*V147</f>
        <v>0</v>
      </c>
      <c r="AU147" t="n">
        <f>O147*V147</f>
        <v>0</v>
      </c>
      <c r="AV147" t="n">
        <f>P147*V147</f>
        <v>0</v>
      </c>
      <c r="AW147" t="n">
        <f>Q147*V147</f>
        <v>0</v>
      </c>
      <c r="AX147" t="n">
        <f>E147*W147</f>
        <v>0</v>
      </c>
      <c r="AY147" t="n">
        <f>F147*W147</f>
        <v>0</v>
      </c>
      <c r="AZ147" t="n">
        <f>G147*W147</f>
        <v>0</v>
      </c>
      <c r="BA147" t="n">
        <f>H147*W147</f>
        <v>0</v>
      </c>
      <c r="BB147" t="n">
        <f>I147*W147</f>
        <v>0</v>
      </c>
      <c r="BC147" t="n">
        <f>J147*W147</f>
        <v>0</v>
      </c>
      <c r="BD147" t="n">
        <f>K147*W147</f>
        <v>0</v>
      </c>
      <c r="BE147" t="n">
        <f>L147*W147</f>
        <v>0</v>
      </c>
      <c r="BF147" t="n">
        <f>M147*W147</f>
        <v>0</v>
      </c>
      <c r="BG147" t="n">
        <f>N147*W147</f>
        <v>0</v>
      </c>
      <c r="BH147" t="n">
        <f>O147*W147</f>
        <v>0</v>
      </c>
      <c r="BI147" t="n">
        <f>P147*W147</f>
        <v>0</v>
      </c>
      <c r="BJ147" t="n">
        <f>Q147*W147</f>
        <v>0</v>
      </c>
    </row>
    <row r="148">
      <c r="A148" t="n">
        <f>Charges!A148</f>
        <v>0</v>
      </c>
      <c r="B148" t="n">
        <f>Charges!C148</f>
        <v>0</v>
      </c>
      <c r="C148" t="str">
        <f>Charges!D148</f>
        <v/>
      </c>
      <c r="E148" t="n">
        <f>IF(1&lt;=Paramètres!$B$9,MAX(0,IFERROR(N(IF(ISNUMBER(Charges!F148),MAX(0,Charges!F148),IFERROR(VLOOKUP(Charges!F148,Paramètres!$A$15:$B$18,2,FALSE),0))),0)),0)</f>
        <v>0</v>
      </c>
      <c r="F148" t="n">
        <f>IF(2&lt;=Paramètres!$B$9,MAX(0,IFERROR(N(IF(ISNUMBER(Charges!G148),MAX(0,Charges!G148),IFERROR(VLOOKUP(Charges!G148,Paramètres!$A$15:$B$18,2,FALSE),0))),0)),0)</f>
        <v>0</v>
      </c>
      <c r="G148" t="n">
        <f>IF(3&lt;=Paramètres!$B$9,MAX(0,IFERROR(N(IF(ISNUMBER(Charges!H148),MAX(0,Charges!H148),IFERROR(VLOOKUP(Charges!H148,Paramètres!$A$15:$B$18,2,FALSE),0))),0)),0)</f>
        <v>0</v>
      </c>
      <c r="H148" t="n">
        <f>IF(4&lt;=Paramètres!$B$9,MAX(0,IFERROR(N(IF(ISNUMBER(Charges!I148),MAX(0,Charges!I148),IFERROR(VLOOKUP(Charges!I148,Paramètres!$A$15:$B$18,2,FALSE),0))),0)),0)</f>
        <v>0</v>
      </c>
      <c r="I148" t="n">
        <f>IF(5&lt;=Paramètres!$B$9,MAX(0,IFERROR(N(IF(ISNUMBER(Charges!J148),MAX(0,Charges!J148),IFERROR(VLOOKUP(Charges!J148,Paramètres!$A$15:$B$18,2,FALSE),0))),0)),0)</f>
        <v>0</v>
      </c>
      <c r="J148" t="n">
        <f>IF(6&lt;=Paramètres!$B$9,MAX(0,IFERROR(N(IF(ISNUMBER(Charges!K148),MAX(0,Charges!K148),IFERROR(VLOOKUP(Charges!K148,Paramètres!$A$15:$B$18,2,FALSE),0))),0)),0)</f>
        <v>0</v>
      </c>
      <c r="K148" t="n">
        <f>IF(7&lt;=Paramètres!$B$9,MAX(0,IFERROR(N(IF(ISNUMBER(Charges!L148),MAX(0,Charges!L148),IFERROR(VLOOKUP(Charges!L148,Paramètres!$A$15:$B$18,2,FALSE),0))),0)),0)</f>
        <v>0</v>
      </c>
      <c r="L148" t="n">
        <f>IF(8&lt;=Paramètres!$B$9,MAX(0,IFERROR(N(IF(ISNUMBER(Charges!M148),MAX(0,Charges!M148),IFERROR(VLOOKUP(Charges!M148,Paramètres!$A$15:$B$18,2,FALSE),0))),0)),0)</f>
        <v>0</v>
      </c>
      <c r="M148" t="n">
        <f>IF(9&lt;=Paramètres!$B$9,MAX(0,IFERROR(N(IF(ISNUMBER(Charges!N148),MAX(0,Charges!N148),IFERROR(VLOOKUP(Charges!N148,Paramètres!$A$15:$B$18,2,FALSE),0))),0)),0)</f>
        <v>0</v>
      </c>
      <c r="N148" t="n">
        <f>IF(10&lt;=Paramètres!$B$9,MAX(0,IFERROR(N(IF(ISNUMBER(Charges!O148),MAX(0,Charges!O148),IFERROR(VLOOKUP(Charges!O148,Paramètres!$A$15:$B$18,2,FALSE),0))),0)),0)</f>
        <v>0</v>
      </c>
      <c r="O148" t="n">
        <f>IF(11&lt;=Paramètres!$B$9,MAX(0,IFERROR(N(IF(ISNUMBER(Charges!P148),MAX(0,Charges!P148),IFERROR(VLOOKUP(Charges!P148,Paramètres!$A$15:$B$18,2,FALSE),0))),0)),0)</f>
        <v>0</v>
      </c>
      <c r="P148" t="n">
        <f>IF(12&lt;=Paramètres!$B$9,MAX(0,IFERROR(N(IF(ISNUMBER(Charges!Q148),MAX(0,Charges!Q148),IFERROR(VLOOKUP(Charges!Q148,Paramètres!$A$15:$B$18,2,FALSE),0))),0)),0)</f>
        <v>0</v>
      </c>
      <c r="Q148" t="n">
        <f>IF(13&lt;=Paramètres!$B$9,MAX(0,IFERROR(N(IF(ISNUMBER(Charges!R148),MAX(0,Charges!R148),IFERROR(VLOOKUP(Charges!R148,Paramètres!$A$15:$B$18,2,FALSE),0))),0)),0)</f>
        <v>0</v>
      </c>
      <c r="R148" t="n">
        <f>SUM(E148:Q148)</f>
        <v>0</v>
      </c>
      <c r="S148" t="n">
        <f>IF(IFERROR(VLOOKUP(A148,'Projets'!$A$8:$Z$67,7,FALSE),"")="Engager",1,0)</f>
        <v>0</v>
      </c>
      <c r="T148" t="n">
        <f>IF(OR(Charges!F148="",AND(ISNUMBER(Charges!F148),Charges!F148&gt;=0),Charges!F148="S",Charges!F148="M",Charges!F148="L",Charges!F148="XL"),0,1)+IF(OR(Charges!G148="",AND(ISNUMBER(Charges!G148),Charges!G148&gt;=0),Charges!G148="S",Charges!G148="M",Charges!G148="L",Charges!G148="XL"),0,1)+IF(OR(Charges!H148="",AND(ISNUMBER(Charges!H148),Charges!H148&gt;=0),Charges!H148="S",Charges!H148="M",Charges!H148="L",Charges!H148="XL"),0,1)+IF(OR(Charges!I148="",AND(ISNUMBER(Charges!I148),Charges!I148&gt;=0),Charges!I148="S",Charges!I148="M",Charges!I148="L",Charges!I148="XL"),0,1)+IF(OR(Charges!J148="",AND(ISNUMBER(Charges!J148),Charges!J148&gt;=0),Charges!J148="S",Charges!J148="M",Charges!J148="L",Charges!J148="XL"),0,1)+IF(OR(Charges!K148="",AND(ISNUMBER(Charges!K148),Charges!K148&gt;=0),Charges!K148="S",Charges!K148="M",Charges!K148="L",Charges!K148="XL"),0,1)+IF(OR(Charges!L148="",AND(ISNUMBER(Charges!L148),Charges!L148&gt;=0),Charges!L148="S",Charges!L148="M",Charges!L148="L",Charges!L148="XL"),0,1)+IF(OR(Charges!M148="",AND(ISNUMBER(Charges!M148),Charges!M148&gt;=0),Charges!M148="S",Charges!M148="M",Charges!M148="L",Charges!M148="XL"),0,1)+IF(OR(Charges!N148="",AND(ISNUMBER(Charges!N148),Charges!N148&gt;=0),Charges!N148="S",Charges!N148="M",Charges!N148="L",Charges!N148="XL"),0,1)+IF(OR(Charges!O148="",AND(ISNUMBER(Charges!O148),Charges!O148&gt;=0),Charges!O148="S",Charges!O148="M",Charges!O148="L",Charges!O148="XL"),0,1)+IF(OR(Charges!P148="",AND(ISNUMBER(Charges!P148),Charges!P148&gt;=0),Charges!P148="S",Charges!P148="M",Charges!P148="L",Charges!P148="XL"),0,1)+IF(OR(Charges!Q148="",AND(ISNUMBER(Charges!Q148),Charges!Q148&gt;=0),Charges!Q148="S",Charges!Q148="M",Charges!Q148="L",Charges!Q148="XL"),0,1)+IF(OR(Charges!R148="",AND(ISNUMBER(Charges!R148),Charges!R148&gt;=0),Charges!R148="S",Charges!R148="M",Charges!R148="L",Charges!R148="XL"),0,1)</f>
        <v>0</v>
      </c>
      <c r="U148" t="n">
        <f>IF(AND(1&gt;Paramètres!$B$9,Charges!F148&lt;&gt;"",Charges!F148&lt;&gt;0),1,0)+IF(AND(2&gt;Paramètres!$B$9,Charges!G148&lt;&gt;"",Charges!G148&lt;&gt;0),1,0)+IF(AND(3&gt;Paramètres!$B$9,Charges!H148&lt;&gt;"",Charges!H148&lt;&gt;0),1,0)+IF(AND(4&gt;Paramètres!$B$9,Charges!I148&lt;&gt;"",Charges!I148&lt;&gt;0),1,0)+IF(AND(5&gt;Paramètres!$B$9,Charges!J148&lt;&gt;"",Charges!J148&lt;&gt;0),1,0)+IF(AND(6&gt;Paramètres!$B$9,Charges!K148&lt;&gt;"",Charges!K148&lt;&gt;0),1,0)+IF(AND(7&gt;Paramètres!$B$9,Charges!L148&lt;&gt;"",Charges!L148&lt;&gt;0),1,0)+IF(AND(8&gt;Paramètres!$B$9,Charges!M148&lt;&gt;"",Charges!M148&lt;&gt;0),1,0)+IF(AND(9&gt;Paramètres!$B$9,Charges!N148&lt;&gt;"",Charges!N148&lt;&gt;0),1,0)+IF(AND(10&gt;Paramètres!$B$9,Charges!O148&lt;&gt;"",Charges!O148&lt;&gt;0),1,0)+IF(AND(11&gt;Paramètres!$B$9,Charges!P148&lt;&gt;"",Charges!P148&lt;&gt;0),1,0)+IF(AND(12&gt;Paramètres!$B$9,Charges!Q148&lt;&gt;"",Charges!Q148&lt;&gt;0),1,0)+IF(AND(13&gt;Paramètres!$B$9,Charges!R148&lt;&gt;"",Charges!R148&lt;&gt;0),1,0)</f>
        <v>0</v>
      </c>
      <c r="V148" t="n">
        <f>IF(IFERROR(VLOOKUP(A148,'Projets'!$A$8:$Z$67,5,FALSE),"")="Engager",1,0)</f>
        <v>0</v>
      </c>
      <c r="W148" t="n">
        <f>IF(IFERROR(VLOOKUP(A148,'Projets'!$A$8:$Z$67,6,FALSE),"")="Engager",1,0)</f>
        <v>0</v>
      </c>
      <c r="X148" t="n">
        <f>E148*S148</f>
        <v>0</v>
      </c>
      <c r="Y148" t="n">
        <f>F148*S148</f>
        <v>0</v>
      </c>
      <c r="Z148" t="n">
        <f>G148*S148</f>
        <v>0</v>
      </c>
      <c r="AA148" t="n">
        <f>H148*S148</f>
        <v>0</v>
      </c>
      <c r="AB148" t="n">
        <f>I148*S148</f>
        <v>0</v>
      </c>
      <c r="AC148" t="n">
        <f>J148*S148</f>
        <v>0</v>
      </c>
      <c r="AD148" t="n">
        <f>K148*S148</f>
        <v>0</v>
      </c>
      <c r="AE148" t="n">
        <f>L148*S148</f>
        <v>0</v>
      </c>
      <c r="AF148" t="n">
        <f>M148*S148</f>
        <v>0</v>
      </c>
      <c r="AG148" t="n">
        <f>N148*S148</f>
        <v>0</v>
      </c>
      <c r="AH148" t="n">
        <f>O148*S148</f>
        <v>0</v>
      </c>
      <c r="AI148" t="n">
        <f>P148*S148</f>
        <v>0</v>
      </c>
      <c r="AJ148" t="n">
        <f>Q148*S148</f>
        <v>0</v>
      </c>
      <c r="AK148" t="n">
        <f>E148*V148</f>
        <v>0</v>
      </c>
      <c r="AL148" t="n">
        <f>F148*V148</f>
        <v>0</v>
      </c>
      <c r="AM148" t="n">
        <f>G148*V148</f>
        <v>0</v>
      </c>
      <c r="AN148" t="n">
        <f>H148*V148</f>
        <v>0</v>
      </c>
      <c r="AO148" t="n">
        <f>I148*V148</f>
        <v>0</v>
      </c>
      <c r="AP148" t="n">
        <f>J148*V148</f>
        <v>0</v>
      </c>
      <c r="AQ148" t="n">
        <f>K148*V148</f>
        <v>0</v>
      </c>
      <c r="AR148" t="n">
        <f>L148*V148</f>
        <v>0</v>
      </c>
      <c r="AS148" t="n">
        <f>M148*V148</f>
        <v>0</v>
      </c>
      <c r="AT148" t="n">
        <f>N148*V148</f>
        <v>0</v>
      </c>
      <c r="AU148" t="n">
        <f>O148*V148</f>
        <v>0</v>
      </c>
      <c r="AV148" t="n">
        <f>P148*V148</f>
        <v>0</v>
      </c>
      <c r="AW148" t="n">
        <f>Q148*V148</f>
        <v>0</v>
      </c>
      <c r="AX148" t="n">
        <f>E148*W148</f>
        <v>0</v>
      </c>
      <c r="AY148" t="n">
        <f>F148*W148</f>
        <v>0</v>
      </c>
      <c r="AZ148" t="n">
        <f>G148*W148</f>
        <v>0</v>
      </c>
      <c r="BA148" t="n">
        <f>H148*W148</f>
        <v>0</v>
      </c>
      <c r="BB148" t="n">
        <f>I148*W148</f>
        <v>0</v>
      </c>
      <c r="BC148" t="n">
        <f>J148*W148</f>
        <v>0</v>
      </c>
      <c r="BD148" t="n">
        <f>K148*W148</f>
        <v>0</v>
      </c>
      <c r="BE148" t="n">
        <f>L148*W148</f>
        <v>0</v>
      </c>
      <c r="BF148" t="n">
        <f>M148*W148</f>
        <v>0</v>
      </c>
      <c r="BG148" t="n">
        <f>N148*W148</f>
        <v>0</v>
      </c>
      <c r="BH148" t="n">
        <f>O148*W148</f>
        <v>0</v>
      </c>
      <c r="BI148" t="n">
        <f>P148*W148</f>
        <v>0</v>
      </c>
      <c r="BJ148" t="n">
        <f>Q148*W148</f>
        <v>0</v>
      </c>
    </row>
    <row r="149">
      <c r="A149" t="n">
        <f>Charges!A149</f>
        <v>0</v>
      </c>
      <c r="B149" t="n">
        <f>Charges!C149</f>
        <v>0</v>
      </c>
      <c r="C149" t="str">
        <f>Charges!D149</f>
        <v/>
      </c>
      <c r="E149" t="n">
        <f>IF(1&lt;=Paramètres!$B$9,MAX(0,IFERROR(N(IF(ISNUMBER(Charges!F149),MAX(0,Charges!F149),IFERROR(VLOOKUP(Charges!F149,Paramètres!$A$15:$B$18,2,FALSE),0))),0)),0)</f>
        <v>0</v>
      </c>
      <c r="F149" t="n">
        <f>IF(2&lt;=Paramètres!$B$9,MAX(0,IFERROR(N(IF(ISNUMBER(Charges!G149),MAX(0,Charges!G149),IFERROR(VLOOKUP(Charges!G149,Paramètres!$A$15:$B$18,2,FALSE),0))),0)),0)</f>
        <v>0</v>
      </c>
      <c r="G149" t="n">
        <f>IF(3&lt;=Paramètres!$B$9,MAX(0,IFERROR(N(IF(ISNUMBER(Charges!H149),MAX(0,Charges!H149),IFERROR(VLOOKUP(Charges!H149,Paramètres!$A$15:$B$18,2,FALSE),0))),0)),0)</f>
        <v>0</v>
      </c>
      <c r="H149" t="n">
        <f>IF(4&lt;=Paramètres!$B$9,MAX(0,IFERROR(N(IF(ISNUMBER(Charges!I149),MAX(0,Charges!I149),IFERROR(VLOOKUP(Charges!I149,Paramètres!$A$15:$B$18,2,FALSE),0))),0)),0)</f>
        <v>0</v>
      </c>
      <c r="I149" t="n">
        <f>IF(5&lt;=Paramètres!$B$9,MAX(0,IFERROR(N(IF(ISNUMBER(Charges!J149),MAX(0,Charges!J149),IFERROR(VLOOKUP(Charges!J149,Paramètres!$A$15:$B$18,2,FALSE),0))),0)),0)</f>
        <v>0</v>
      </c>
      <c r="J149" t="n">
        <f>IF(6&lt;=Paramètres!$B$9,MAX(0,IFERROR(N(IF(ISNUMBER(Charges!K149),MAX(0,Charges!K149),IFERROR(VLOOKUP(Charges!K149,Paramètres!$A$15:$B$18,2,FALSE),0))),0)),0)</f>
        <v>0</v>
      </c>
      <c r="K149" t="n">
        <f>IF(7&lt;=Paramètres!$B$9,MAX(0,IFERROR(N(IF(ISNUMBER(Charges!L149),MAX(0,Charges!L149),IFERROR(VLOOKUP(Charges!L149,Paramètres!$A$15:$B$18,2,FALSE),0))),0)),0)</f>
        <v>0</v>
      </c>
      <c r="L149" t="n">
        <f>IF(8&lt;=Paramètres!$B$9,MAX(0,IFERROR(N(IF(ISNUMBER(Charges!M149),MAX(0,Charges!M149),IFERROR(VLOOKUP(Charges!M149,Paramètres!$A$15:$B$18,2,FALSE),0))),0)),0)</f>
        <v>0</v>
      </c>
      <c r="M149" t="n">
        <f>IF(9&lt;=Paramètres!$B$9,MAX(0,IFERROR(N(IF(ISNUMBER(Charges!N149),MAX(0,Charges!N149),IFERROR(VLOOKUP(Charges!N149,Paramètres!$A$15:$B$18,2,FALSE),0))),0)),0)</f>
        <v>0</v>
      </c>
      <c r="N149" t="n">
        <f>IF(10&lt;=Paramètres!$B$9,MAX(0,IFERROR(N(IF(ISNUMBER(Charges!O149),MAX(0,Charges!O149),IFERROR(VLOOKUP(Charges!O149,Paramètres!$A$15:$B$18,2,FALSE),0))),0)),0)</f>
        <v>0</v>
      </c>
      <c r="O149" t="n">
        <f>IF(11&lt;=Paramètres!$B$9,MAX(0,IFERROR(N(IF(ISNUMBER(Charges!P149),MAX(0,Charges!P149),IFERROR(VLOOKUP(Charges!P149,Paramètres!$A$15:$B$18,2,FALSE),0))),0)),0)</f>
        <v>0</v>
      </c>
      <c r="P149" t="n">
        <f>IF(12&lt;=Paramètres!$B$9,MAX(0,IFERROR(N(IF(ISNUMBER(Charges!Q149),MAX(0,Charges!Q149),IFERROR(VLOOKUP(Charges!Q149,Paramètres!$A$15:$B$18,2,FALSE),0))),0)),0)</f>
        <v>0</v>
      </c>
      <c r="Q149" t="n">
        <f>IF(13&lt;=Paramètres!$B$9,MAX(0,IFERROR(N(IF(ISNUMBER(Charges!R149),MAX(0,Charges!R149),IFERROR(VLOOKUP(Charges!R149,Paramètres!$A$15:$B$18,2,FALSE),0))),0)),0)</f>
        <v>0</v>
      </c>
      <c r="R149" t="n">
        <f>SUM(E149:Q149)</f>
        <v>0</v>
      </c>
      <c r="S149" t="n">
        <f>IF(IFERROR(VLOOKUP(A149,'Projets'!$A$8:$Z$67,7,FALSE),"")="Engager",1,0)</f>
        <v>0</v>
      </c>
      <c r="T149" t="n">
        <f>IF(OR(Charges!F149="",AND(ISNUMBER(Charges!F149),Charges!F149&gt;=0),Charges!F149="S",Charges!F149="M",Charges!F149="L",Charges!F149="XL"),0,1)+IF(OR(Charges!G149="",AND(ISNUMBER(Charges!G149),Charges!G149&gt;=0),Charges!G149="S",Charges!G149="M",Charges!G149="L",Charges!G149="XL"),0,1)+IF(OR(Charges!H149="",AND(ISNUMBER(Charges!H149),Charges!H149&gt;=0),Charges!H149="S",Charges!H149="M",Charges!H149="L",Charges!H149="XL"),0,1)+IF(OR(Charges!I149="",AND(ISNUMBER(Charges!I149),Charges!I149&gt;=0),Charges!I149="S",Charges!I149="M",Charges!I149="L",Charges!I149="XL"),0,1)+IF(OR(Charges!J149="",AND(ISNUMBER(Charges!J149),Charges!J149&gt;=0),Charges!J149="S",Charges!J149="M",Charges!J149="L",Charges!J149="XL"),0,1)+IF(OR(Charges!K149="",AND(ISNUMBER(Charges!K149),Charges!K149&gt;=0),Charges!K149="S",Charges!K149="M",Charges!K149="L",Charges!K149="XL"),0,1)+IF(OR(Charges!L149="",AND(ISNUMBER(Charges!L149),Charges!L149&gt;=0),Charges!L149="S",Charges!L149="M",Charges!L149="L",Charges!L149="XL"),0,1)+IF(OR(Charges!M149="",AND(ISNUMBER(Charges!M149),Charges!M149&gt;=0),Charges!M149="S",Charges!M149="M",Charges!M149="L",Charges!M149="XL"),0,1)+IF(OR(Charges!N149="",AND(ISNUMBER(Charges!N149),Charges!N149&gt;=0),Charges!N149="S",Charges!N149="M",Charges!N149="L",Charges!N149="XL"),0,1)+IF(OR(Charges!O149="",AND(ISNUMBER(Charges!O149),Charges!O149&gt;=0),Charges!O149="S",Charges!O149="M",Charges!O149="L",Charges!O149="XL"),0,1)+IF(OR(Charges!P149="",AND(ISNUMBER(Charges!P149),Charges!P149&gt;=0),Charges!P149="S",Charges!P149="M",Charges!P149="L",Charges!P149="XL"),0,1)+IF(OR(Charges!Q149="",AND(ISNUMBER(Charges!Q149),Charges!Q149&gt;=0),Charges!Q149="S",Charges!Q149="M",Charges!Q149="L",Charges!Q149="XL"),0,1)+IF(OR(Charges!R149="",AND(ISNUMBER(Charges!R149),Charges!R149&gt;=0),Charges!R149="S",Charges!R149="M",Charges!R149="L",Charges!R149="XL"),0,1)</f>
        <v>0</v>
      </c>
      <c r="U149" t="n">
        <f>IF(AND(1&gt;Paramètres!$B$9,Charges!F149&lt;&gt;"",Charges!F149&lt;&gt;0),1,0)+IF(AND(2&gt;Paramètres!$B$9,Charges!G149&lt;&gt;"",Charges!G149&lt;&gt;0),1,0)+IF(AND(3&gt;Paramètres!$B$9,Charges!H149&lt;&gt;"",Charges!H149&lt;&gt;0),1,0)+IF(AND(4&gt;Paramètres!$B$9,Charges!I149&lt;&gt;"",Charges!I149&lt;&gt;0),1,0)+IF(AND(5&gt;Paramètres!$B$9,Charges!J149&lt;&gt;"",Charges!J149&lt;&gt;0),1,0)+IF(AND(6&gt;Paramètres!$B$9,Charges!K149&lt;&gt;"",Charges!K149&lt;&gt;0),1,0)+IF(AND(7&gt;Paramètres!$B$9,Charges!L149&lt;&gt;"",Charges!L149&lt;&gt;0),1,0)+IF(AND(8&gt;Paramètres!$B$9,Charges!M149&lt;&gt;"",Charges!M149&lt;&gt;0),1,0)+IF(AND(9&gt;Paramètres!$B$9,Charges!N149&lt;&gt;"",Charges!N149&lt;&gt;0),1,0)+IF(AND(10&gt;Paramètres!$B$9,Charges!O149&lt;&gt;"",Charges!O149&lt;&gt;0),1,0)+IF(AND(11&gt;Paramètres!$B$9,Charges!P149&lt;&gt;"",Charges!P149&lt;&gt;0),1,0)+IF(AND(12&gt;Paramètres!$B$9,Charges!Q149&lt;&gt;"",Charges!Q149&lt;&gt;0),1,0)+IF(AND(13&gt;Paramètres!$B$9,Charges!R149&lt;&gt;"",Charges!R149&lt;&gt;0),1,0)</f>
        <v>0</v>
      </c>
      <c r="V149" t="n">
        <f>IF(IFERROR(VLOOKUP(A149,'Projets'!$A$8:$Z$67,5,FALSE),"")="Engager",1,0)</f>
        <v>0</v>
      </c>
      <c r="W149" t="n">
        <f>IF(IFERROR(VLOOKUP(A149,'Projets'!$A$8:$Z$67,6,FALSE),"")="Engager",1,0)</f>
        <v>0</v>
      </c>
      <c r="X149" t="n">
        <f>E149*S149</f>
        <v>0</v>
      </c>
      <c r="Y149" t="n">
        <f>F149*S149</f>
        <v>0</v>
      </c>
      <c r="Z149" t="n">
        <f>G149*S149</f>
        <v>0</v>
      </c>
      <c r="AA149" t="n">
        <f>H149*S149</f>
        <v>0</v>
      </c>
      <c r="AB149" t="n">
        <f>I149*S149</f>
        <v>0</v>
      </c>
      <c r="AC149" t="n">
        <f>J149*S149</f>
        <v>0</v>
      </c>
      <c r="AD149" t="n">
        <f>K149*S149</f>
        <v>0</v>
      </c>
      <c r="AE149" t="n">
        <f>L149*S149</f>
        <v>0</v>
      </c>
      <c r="AF149" t="n">
        <f>M149*S149</f>
        <v>0</v>
      </c>
      <c r="AG149" t="n">
        <f>N149*S149</f>
        <v>0</v>
      </c>
      <c r="AH149" t="n">
        <f>O149*S149</f>
        <v>0</v>
      </c>
      <c r="AI149" t="n">
        <f>P149*S149</f>
        <v>0</v>
      </c>
      <c r="AJ149" t="n">
        <f>Q149*S149</f>
        <v>0</v>
      </c>
      <c r="AK149" t="n">
        <f>E149*V149</f>
        <v>0</v>
      </c>
      <c r="AL149" t="n">
        <f>F149*V149</f>
        <v>0</v>
      </c>
      <c r="AM149" t="n">
        <f>G149*V149</f>
        <v>0</v>
      </c>
      <c r="AN149" t="n">
        <f>H149*V149</f>
        <v>0</v>
      </c>
      <c r="AO149" t="n">
        <f>I149*V149</f>
        <v>0</v>
      </c>
      <c r="AP149" t="n">
        <f>J149*V149</f>
        <v>0</v>
      </c>
      <c r="AQ149" t="n">
        <f>K149*V149</f>
        <v>0</v>
      </c>
      <c r="AR149" t="n">
        <f>L149*V149</f>
        <v>0</v>
      </c>
      <c r="AS149" t="n">
        <f>M149*V149</f>
        <v>0</v>
      </c>
      <c r="AT149" t="n">
        <f>N149*V149</f>
        <v>0</v>
      </c>
      <c r="AU149" t="n">
        <f>O149*V149</f>
        <v>0</v>
      </c>
      <c r="AV149" t="n">
        <f>P149*V149</f>
        <v>0</v>
      </c>
      <c r="AW149" t="n">
        <f>Q149*V149</f>
        <v>0</v>
      </c>
      <c r="AX149" t="n">
        <f>E149*W149</f>
        <v>0</v>
      </c>
      <c r="AY149" t="n">
        <f>F149*W149</f>
        <v>0</v>
      </c>
      <c r="AZ149" t="n">
        <f>G149*W149</f>
        <v>0</v>
      </c>
      <c r="BA149" t="n">
        <f>H149*W149</f>
        <v>0</v>
      </c>
      <c r="BB149" t="n">
        <f>I149*W149</f>
        <v>0</v>
      </c>
      <c r="BC149" t="n">
        <f>J149*W149</f>
        <v>0</v>
      </c>
      <c r="BD149" t="n">
        <f>K149*W149</f>
        <v>0</v>
      </c>
      <c r="BE149" t="n">
        <f>L149*W149</f>
        <v>0</v>
      </c>
      <c r="BF149" t="n">
        <f>M149*W149</f>
        <v>0</v>
      </c>
      <c r="BG149" t="n">
        <f>N149*W149</f>
        <v>0</v>
      </c>
      <c r="BH149" t="n">
        <f>O149*W149</f>
        <v>0</v>
      </c>
      <c r="BI149" t="n">
        <f>P149*W149</f>
        <v>0</v>
      </c>
      <c r="BJ149" t="n">
        <f>Q149*W149</f>
        <v>0</v>
      </c>
    </row>
    <row r="150">
      <c r="A150" t="n">
        <f>Charges!A150</f>
        <v>0</v>
      </c>
      <c r="B150" t="n">
        <f>Charges!C150</f>
        <v>0</v>
      </c>
      <c r="C150" t="str">
        <f>Charges!D150</f>
        <v/>
      </c>
      <c r="E150" t="n">
        <f>IF(1&lt;=Paramètres!$B$9,MAX(0,IFERROR(N(IF(ISNUMBER(Charges!F150),MAX(0,Charges!F150),IFERROR(VLOOKUP(Charges!F150,Paramètres!$A$15:$B$18,2,FALSE),0))),0)),0)</f>
        <v>0</v>
      </c>
      <c r="F150" t="n">
        <f>IF(2&lt;=Paramètres!$B$9,MAX(0,IFERROR(N(IF(ISNUMBER(Charges!G150),MAX(0,Charges!G150),IFERROR(VLOOKUP(Charges!G150,Paramètres!$A$15:$B$18,2,FALSE),0))),0)),0)</f>
        <v>0</v>
      </c>
      <c r="G150" t="n">
        <f>IF(3&lt;=Paramètres!$B$9,MAX(0,IFERROR(N(IF(ISNUMBER(Charges!H150),MAX(0,Charges!H150),IFERROR(VLOOKUP(Charges!H150,Paramètres!$A$15:$B$18,2,FALSE),0))),0)),0)</f>
        <v>0</v>
      </c>
      <c r="H150" t="n">
        <f>IF(4&lt;=Paramètres!$B$9,MAX(0,IFERROR(N(IF(ISNUMBER(Charges!I150),MAX(0,Charges!I150),IFERROR(VLOOKUP(Charges!I150,Paramètres!$A$15:$B$18,2,FALSE),0))),0)),0)</f>
        <v>0</v>
      </c>
      <c r="I150" t="n">
        <f>IF(5&lt;=Paramètres!$B$9,MAX(0,IFERROR(N(IF(ISNUMBER(Charges!J150),MAX(0,Charges!J150),IFERROR(VLOOKUP(Charges!J150,Paramètres!$A$15:$B$18,2,FALSE),0))),0)),0)</f>
        <v>0</v>
      </c>
      <c r="J150" t="n">
        <f>IF(6&lt;=Paramètres!$B$9,MAX(0,IFERROR(N(IF(ISNUMBER(Charges!K150),MAX(0,Charges!K150),IFERROR(VLOOKUP(Charges!K150,Paramètres!$A$15:$B$18,2,FALSE),0))),0)),0)</f>
        <v>0</v>
      </c>
      <c r="K150" t="n">
        <f>IF(7&lt;=Paramètres!$B$9,MAX(0,IFERROR(N(IF(ISNUMBER(Charges!L150),MAX(0,Charges!L150),IFERROR(VLOOKUP(Charges!L150,Paramètres!$A$15:$B$18,2,FALSE),0))),0)),0)</f>
        <v>0</v>
      </c>
      <c r="L150" t="n">
        <f>IF(8&lt;=Paramètres!$B$9,MAX(0,IFERROR(N(IF(ISNUMBER(Charges!M150),MAX(0,Charges!M150),IFERROR(VLOOKUP(Charges!M150,Paramètres!$A$15:$B$18,2,FALSE),0))),0)),0)</f>
        <v>0</v>
      </c>
      <c r="M150" t="n">
        <f>IF(9&lt;=Paramètres!$B$9,MAX(0,IFERROR(N(IF(ISNUMBER(Charges!N150),MAX(0,Charges!N150),IFERROR(VLOOKUP(Charges!N150,Paramètres!$A$15:$B$18,2,FALSE),0))),0)),0)</f>
        <v>0</v>
      </c>
      <c r="N150" t="n">
        <f>IF(10&lt;=Paramètres!$B$9,MAX(0,IFERROR(N(IF(ISNUMBER(Charges!O150),MAX(0,Charges!O150),IFERROR(VLOOKUP(Charges!O150,Paramètres!$A$15:$B$18,2,FALSE),0))),0)),0)</f>
        <v>0</v>
      </c>
      <c r="O150" t="n">
        <f>IF(11&lt;=Paramètres!$B$9,MAX(0,IFERROR(N(IF(ISNUMBER(Charges!P150),MAX(0,Charges!P150),IFERROR(VLOOKUP(Charges!P150,Paramètres!$A$15:$B$18,2,FALSE),0))),0)),0)</f>
        <v>0</v>
      </c>
      <c r="P150" t="n">
        <f>IF(12&lt;=Paramètres!$B$9,MAX(0,IFERROR(N(IF(ISNUMBER(Charges!Q150),MAX(0,Charges!Q150),IFERROR(VLOOKUP(Charges!Q150,Paramètres!$A$15:$B$18,2,FALSE),0))),0)),0)</f>
        <v>0</v>
      </c>
      <c r="Q150" t="n">
        <f>IF(13&lt;=Paramètres!$B$9,MAX(0,IFERROR(N(IF(ISNUMBER(Charges!R150),MAX(0,Charges!R150),IFERROR(VLOOKUP(Charges!R150,Paramètres!$A$15:$B$18,2,FALSE),0))),0)),0)</f>
        <v>0</v>
      </c>
      <c r="R150" t="n">
        <f>SUM(E150:Q150)</f>
        <v>0</v>
      </c>
      <c r="S150" t="n">
        <f>IF(IFERROR(VLOOKUP(A150,'Projets'!$A$8:$Z$67,7,FALSE),"")="Engager",1,0)</f>
        <v>0</v>
      </c>
      <c r="T150" t="n">
        <f>IF(OR(Charges!F150="",AND(ISNUMBER(Charges!F150),Charges!F150&gt;=0),Charges!F150="S",Charges!F150="M",Charges!F150="L",Charges!F150="XL"),0,1)+IF(OR(Charges!G150="",AND(ISNUMBER(Charges!G150),Charges!G150&gt;=0),Charges!G150="S",Charges!G150="M",Charges!G150="L",Charges!G150="XL"),0,1)+IF(OR(Charges!H150="",AND(ISNUMBER(Charges!H150),Charges!H150&gt;=0),Charges!H150="S",Charges!H150="M",Charges!H150="L",Charges!H150="XL"),0,1)+IF(OR(Charges!I150="",AND(ISNUMBER(Charges!I150),Charges!I150&gt;=0),Charges!I150="S",Charges!I150="M",Charges!I150="L",Charges!I150="XL"),0,1)+IF(OR(Charges!J150="",AND(ISNUMBER(Charges!J150),Charges!J150&gt;=0),Charges!J150="S",Charges!J150="M",Charges!J150="L",Charges!J150="XL"),0,1)+IF(OR(Charges!K150="",AND(ISNUMBER(Charges!K150),Charges!K150&gt;=0),Charges!K150="S",Charges!K150="M",Charges!K150="L",Charges!K150="XL"),0,1)+IF(OR(Charges!L150="",AND(ISNUMBER(Charges!L150),Charges!L150&gt;=0),Charges!L150="S",Charges!L150="M",Charges!L150="L",Charges!L150="XL"),0,1)+IF(OR(Charges!M150="",AND(ISNUMBER(Charges!M150),Charges!M150&gt;=0),Charges!M150="S",Charges!M150="M",Charges!M150="L",Charges!M150="XL"),0,1)+IF(OR(Charges!N150="",AND(ISNUMBER(Charges!N150),Charges!N150&gt;=0),Charges!N150="S",Charges!N150="M",Charges!N150="L",Charges!N150="XL"),0,1)+IF(OR(Charges!O150="",AND(ISNUMBER(Charges!O150),Charges!O150&gt;=0),Charges!O150="S",Charges!O150="M",Charges!O150="L",Charges!O150="XL"),0,1)+IF(OR(Charges!P150="",AND(ISNUMBER(Charges!P150),Charges!P150&gt;=0),Charges!P150="S",Charges!P150="M",Charges!P150="L",Charges!P150="XL"),0,1)+IF(OR(Charges!Q150="",AND(ISNUMBER(Charges!Q150),Charges!Q150&gt;=0),Charges!Q150="S",Charges!Q150="M",Charges!Q150="L",Charges!Q150="XL"),0,1)+IF(OR(Charges!R150="",AND(ISNUMBER(Charges!R150),Charges!R150&gt;=0),Charges!R150="S",Charges!R150="M",Charges!R150="L",Charges!R150="XL"),0,1)</f>
        <v>0</v>
      </c>
      <c r="U150" t="n">
        <f>IF(AND(1&gt;Paramètres!$B$9,Charges!F150&lt;&gt;"",Charges!F150&lt;&gt;0),1,0)+IF(AND(2&gt;Paramètres!$B$9,Charges!G150&lt;&gt;"",Charges!G150&lt;&gt;0),1,0)+IF(AND(3&gt;Paramètres!$B$9,Charges!H150&lt;&gt;"",Charges!H150&lt;&gt;0),1,0)+IF(AND(4&gt;Paramètres!$B$9,Charges!I150&lt;&gt;"",Charges!I150&lt;&gt;0),1,0)+IF(AND(5&gt;Paramètres!$B$9,Charges!J150&lt;&gt;"",Charges!J150&lt;&gt;0),1,0)+IF(AND(6&gt;Paramètres!$B$9,Charges!K150&lt;&gt;"",Charges!K150&lt;&gt;0),1,0)+IF(AND(7&gt;Paramètres!$B$9,Charges!L150&lt;&gt;"",Charges!L150&lt;&gt;0),1,0)+IF(AND(8&gt;Paramètres!$B$9,Charges!M150&lt;&gt;"",Charges!M150&lt;&gt;0),1,0)+IF(AND(9&gt;Paramètres!$B$9,Charges!N150&lt;&gt;"",Charges!N150&lt;&gt;0),1,0)+IF(AND(10&gt;Paramètres!$B$9,Charges!O150&lt;&gt;"",Charges!O150&lt;&gt;0),1,0)+IF(AND(11&gt;Paramètres!$B$9,Charges!P150&lt;&gt;"",Charges!P150&lt;&gt;0),1,0)+IF(AND(12&gt;Paramètres!$B$9,Charges!Q150&lt;&gt;"",Charges!Q150&lt;&gt;0),1,0)+IF(AND(13&gt;Paramètres!$B$9,Charges!R150&lt;&gt;"",Charges!R150&lt;&gt;0),1,0)</f>
        <v>0</v>
      </c>
      <c r="V150" t="n">
        <f>IF(IFERROR(VLOOKUP(A150,'Projets'!$A$8:$Z$67,5,FALSE),"")="Engager",1,0)</f>
        <v>0</v>
      </c>
      <c r="W150" t="n">
        <f>IF(IFERROR(VLOOKUP(A150,'Projets'!$A$8:$Z$67,6,FALSE),"")="Engager",1,0)</f>
        <v>0</v>
      </c>
      <c r="X150" t="n">
        <f>E150*S150</f>
        <v>0</v>
      </c>
      <c r="Y150" t="n">
        <f>F150*S150</f>
        <v>0</v>
      </c>
      <c r="Z150" t="n">
        <f>G150*S150</f>
        <v>0</v>
      </c>
      <c r="AA150" t="n">
        <f>H150*S150</f>
        <v>0</v>
      </c>
      <c r="AB150" t="n">
        <f>I150*S150</f>
        <v>0</v>
      </c>
      <c r="AC150" t="n">
        <f>J150*S150</f>
        <v>0</v>
      </c>
      <c r="AD150" t="n">
        <f>K150*S150</f>
        <v>0</v>
      </c>
      <c r="AE150" t="n">
        <f>L150*S150</f>
        <v>0</v>
      </c>
      <c r="AF150" t="n">
        <f>M150*S150</f>
        <v>0</v>
      </c>
      <c r="AG150" t="n">
        <f>N150*S150</f>
        <v>0</v>
      </c>
      <c r="AH150" t="n">
        <f>O150*S150</f>
        <v>0</v>
      </c>
      <c r="AI150" t="n">
        <f>P150*S150</f>
        <v>0</v>
      </c>
      <c r="AJ150" t="n">
        <f>Q150*S150</f>
        <v>0</v>
      </c>
      <c r="AK150" t="n">
        <f>E150*V150</f>
        <v>0</v>
      </c>
      <c r="AL150" t="n">
        <f>F150*V150</f>
        <v>0</v>
      </c>
      <c r="AM150" t="n">
        <f>G150*V150</f>
        <v>0</v>
      </c>
      <c r="AN150" t="n">
        <f>H150*V150</f>
        <v>0</v>
      </c>
      <c r="AO150" t="n">
        <f>I150*V150</f>
        <v>0</v>
      </c>
      <c r="AP150" t="n">
        <f>J150*V150</f>
        <v>0</v>
      </c>
      <c r="AQ150" t="n">
        <f>K150*V150</f>
        <v>0</v>
      </c>
      <c r="AR150" t="n">
        <f>L150*V150</f>
        <v>0</v>
      </c>
      <c r="AS150" t="n">
        <f>M150*V150</f>
        <v>0</v>
      </c>
      <c r="AT150" t="n">
        <f>N150*V150</f>
        <v>0</v>
      </c>
      <c r="AU150" t="n">
        <f>O150*V150</f>
        <v>0</v>
      </c>
      <c r="AV150" t="n">
        <f>P150*V150</f>
        <v>0</v>
      </c>
      <c r="AW150" t="n">
        <f>Q150*V150</f>
        <v>0</v>
      </c>
      <c r="AX150" t="n">
        <f>E150*W150</f>
        <v>0</v>
      </c>
      <c r="AY150" t="n">
        <f>F150*W150</f>
        <v>0</v>
      </c>
      <c r="AZ150" t="n">
        <f>G150*W150</f>
        <v>0</v>
      </c>
      <c r="BA150" t="n">
        <f>H150*W150</f>
        <v>0</v>
      </c>
      <c r="BB150" t="n">
        <f>I150*W150</f>
        <v>0</v>
      </c>
      <c r="BC150" t="n">
        <f>J150*W150</f>
        <v>0</v>
      </c>
      <c r="BD150" t="n">
        <f>K150*W150</f>
        <v>0</v>
      </c>
      <c r="BE150" t="n">
        <f>L150*W150</f>
        <v>0</v>
      </c>
      <c r="BF150" t="n">
        <f>M150*W150</f>
        <v>0</v>
      </c>
      <c r="BG150" t="n">
        <f>N150*W150</f>
        <v>0</v>
      </c>
      <c r="BH150" t="n">
        <f>O150*W150</f>
        <v>0</v>
      </c>
      <c r="BI150" t="n">
        <f>P150*W150</f>
        <v>0</v>
      </c>
      <c r="BJ150" t="n">
        <f>Q150*W150</f>
        <v>0</v>
      </c>
    </row>
    <row r="151">
      <c r="A151" t="n">
        <f>Charges!A151</f>
        <v>0</v>
      </c>
      <c r="B151" t="n">
        <f>Charges!C151</f>
        <v>0</v>
      </c>
      <c r="C151" t="str">
        <f>Charges!D151</f>
        <v/>
      </c>
      <c r="E151" t="n">
        <f>IF(1&lt;=Paramètres!$B$9,MAX(0,IFERROR(N(IF(ISNUMBER(Charges!F151),MAX(0,Charges!F151),IFERROR(VLOOKUP(Charges!F151,Paramètres!$A$15:$B$18,2,FALSE),0))),0)),0)</f>
        <v>0</v>
      </c>
      <c r="F151" t="n">
        <f>IF(2&lt;=Paramètres!$B$9,MAX(0,IFERROR(N(IF(ISNUMBER(Charges!G151),MAX(0,Charges!G151),IFERROR(VLOOKUP(Charges!G151,Paramètres!$A$15:$B$18,2,FALSE),0))),0)),0)</f>
        <v>0</v>
      </c>
      <c r="G151" t="n">
        <f>IF(3&lt;=Paramètres!$B$9,MAX(0,IFERROR(N(IF(ISNUMBER(Charges!H151),MAX(0,Charges!H151),IFERROR(VLOOKUP(Charges!H151,Paramètres!$A$15:$B$18,2,FALSE),0))),0)),0)</f>
        <v>0</v>
      </c>
      <c r="H151" t="n">
        <f>IF(4&lt;=Paramètres!$B$9,MAX(0,IFERROR(N(IF(ISNUMBER(Charges!I151),MAX(0,Charges!I151),IFERROR(VLOOKUP(Charges!I151,Paramètres!$A$15:$B$18,2,FALSE),0))),0)),0)</f>
        <v>0</v>
      </c>
      <c r="I151" t="n">
        <f>IF(5&lt;=Paramètres!$B$9,MAX(0,IFERROR(N(IF(ISNUMBER(Charges!J151),MAX(0,Charges!J151),IFERROR(VLOOKUP(Charges!J151,Paramètres!$A$15:$B$18,2,FALSE),0))),0)),0)</f>
        <v>0</v>
      </c>
      <c r="J151" t="n">
        <f>IF(6&lt;=Paramètres!$B$9,MAX(0,IFERROR(N(IF(ISNUMBER(Charges!K151),MAX(0,Charges!K151),IFERROR(VLOOKUP(Charges!K151,Paramètres!$A$15:$B$18,2,FALSE),0))),0)),0)</f>
        <v>0</v>
      </c>
      <c r="K151" t="n">
        <f>IF(7&lt;=Paramètres!$B$9,MAX(0,IFERROR(N(IF(ISNUMBER(Charges!L151),MAX(0,Charges!L151),IFERROR(VLOOKUP(Charges!L151,Paramètres!$A$15:$B$18,2,FALSE),0))),0)),0)</f>
        <v>0</v>
      </c>
      <c r="L151" t="n">
        <f>IF(8&lt;=Paramètres!$B$9,MAX(0,IFERROR(N(IF(ISNUMBER(Charges!M151),MAX(0,Charges!M151),IFERROR(VLOOKUP(Charges!M151,Paramètres!$A$15:$B$18,2,FALSE),0))),0)),0)</f>
        <v>0</v>
      </c>
      <c r="M151" t="n">
        <f>IF(9&lt;=Paramètres!$B$9,MAX(0,IFERROR(N(IF(ISNUMBER(Charges!N151),MAX(0,Charges!N151),IFERROR(VLOOKUP(Charges!N151,Paramètres!$A$15:$B$18,2,FALSE),0))),0)),0)</f>
        <v>0</v>
      </c>
      <c r="N151" t="n">
        <f>IF(10&lt;=Paramètres!$B$9,MAX(0,IFERROR(N(IF(ISNUMBER(Charges!O151),MAX(0,Charges!O151),IFERROR(VLOOKUP(Charges!O151,Paramètres!$A$15:$B$18,2,FALSE),0))),0)),0)</f>
        <v>0</v>
      </c>
      <c r="O151" t="n">
        <f>IF(11&lt;=Paramètres!$B$9,MAX(0,IFERROR(N(IF(ISNUMBER(Charges!P151),MAX(0,Charges!P151),IFERROR(VLOOKUP(Charges!P151,Paramètres!$A$15:$B$18,2,FALSE),0))),0)),0)</f>
        <v>0</v>
      </c>
      <c r="P151" t="n">
        <f>IF(12&lt;=Paramètres!$B$9,MAX(0,IFERROR(N(IF(ISNUMBER(Charges!Q151),MAX(0,Charges!Q151),IFERROR(VLOOKUP(Charges!Q151,Paramètres!$A$15:$B$18,2,FALSE),0))),0)),0)</f>
        <v>0</v>
      </c>
      <c r="Q151" t="n">
        <f>IF(13&lt;=Paramètres!$B$9,MAX(0,IFERROR(N(IF(ISNUMBER(Charges!R151),MAX(0,Charges!R151),IFERROR(VLOOKUP(Charges!R151,Paramètres!$A$15:$B$18,2,FALSE),0))),0)),0)</f>
        <v>0</v>
      </c>
      <c r="R151" t="n">
        <f>SUM(E151:Q151)</f>
        <v>0</v>
      </c>
      <c r="S151" t="n">
        <f>IF(IFERROR(VLOOKUP(A151,'Projets'!$A$8:$Z$67,7,FALSE),"")="Engager",1,0)</f>
        <v>0</v>
      </c>
      <c r="T151" t="n">
        <f>IF(OR(Charges!F151="",AND(ISNUMBER(Charges!F151),Charges!F151&gt;=0),Charges!F151="S",Charges!F151="M",Charges!F151="L",Charges!F151="XL"),0,1)+IF(OR(Charges!G151="",AND(ISNUMBER(Charges!G151),Charges!G151&gt;=0),Charges!G151="S",Charges!G151="M",Charges!G151="L",Charges!G151="XL"),0,1)+IF(OR(Charges!H151="",AND(ISNUMBER(Charges!H151),Charges!H151&gt;=0),Charges!H151="S",Charges!H151="M",Charges!H151="L",Charges!H151="XL"),0,1)+IF(OR(Charges!I151="",AND(ISNUMBER(Charges!I151),Charges!I151&gt;=0),Charges!I151="S",Charges!I151="M",Charges!I151="L",Charges!I151="XL"),0,1)+IF(OR(Charges!J151="",AND(ISNUMBER(Charges!J151),Charges!J151&gt;=0),Charges!J151="S",Charges!J151="M",Charges!J151="L",Charges!J151="XL"),0,1)+IF(OR(Charges!K151="",AND(ISNUMBER(Charges!K151),Charges!K151&gt;=0),Charges!K151="S",Charges!K151="M",Charges!K151="L",Charges!K151="XL"),0,1)+IF(OR(Charges!L151="",AND(ISNUMBER(Charges!L151),Charges!L151&gt;=0),Charges!L151="S",Charges!L151="M",Charges!L151="L",Charges!L151="XL"),0,1)+IF(OR(Charges!M151="",AND(ISNUMBER(Charges!M151),Charges!M151&gt;=0),Charges!M151="S",Charges!M151="M",Charges!M151="L",Charges!M151="XL"),0,1)+IF(OR(Charges!N151="",AND(ISNUMBER(Charges!N151),Charges!N151&gt;=0),Charges!N151="S",Charges!N151="M",Charges!N151="L",Charges!N151="XL"),0,1)+IF(OR(Charges!O151="",AND(ISNUMBER(Charges!O151),Charges!O151&gt;=0),Charges!O151="S",Charges!O151="M",Charges!O151="L",Charges!O151="XL"),0,1)+IF(OR(Charges!P151="",AND(ISNUMBER(Charges!P151),Charges!P151&gt;=0),Charges!P151="S",Charges!P151="M",Charges!P151="L",Charges!P151="XL"),0,1)+IF(OR(Charges!Q151="",AND(ISNUMBER(Charges!Q151),Charges!Q151&gt;=0),Charges!Q151="S",Charges!Q151="M",Charges!Q151="L",Charges!Q151="XL"),0,1)+IF(OR(Charges!R151="",AND(ISNUMBER(Charges!R151),Charges!R151&gt;=0),Charges!R151="S",Charges!R151="M",Charges!R151="L",Charges!R151="XL"),0,1)</f>
        <v>0</v>
      </c>
      <c r="U151" t="n">
        <f>IF(AND(1&gt;Paramètres!$B$9,Charges!F151&lt;&gt;"",Charges!F151&lt;&gt;0),1,0)+IF(AND(2&gt;Paramètres!$B$9,Charges!G151&lt;&gt;"",Charges!G151&lt;&gt;0),1,0)+IF(AND(3&gt;Paramètres!$B$9,Charges!H151&lt;&gt;"",Charges!H151&lt;&gt;0),1,0)+IF(AND(4&gt;Paramètres!$B$9,Charges!I151&lt;&gt;"",Charges!I151&lt;&gt;0),1,0)+IF(AND(5&gt;Paramètres!$B$9,Charges!J151&lt;&gt;"",Charges!J151&lt;&gt;0),1,0)+IF(AND(6&gt;Paramètres!$B$9,Charges!K151&lt;&gt;"",Charges!K151&lt;&gt;0),1,0)+IF(AND(7&gt;Paramètres!$B$9,Charges!L151&lt;&gt;"",Charges!L151&lt;&gt;0),1,0)+IF(AND(8&gt;Paramètres!$B$9,Charges!M151&lt;&gt;"",Charges!M151&lt;&gt;0),1,0)+IF(AND(9&gt;Paramètres!$B$9,Charges!N151&lt;&gt;"",Charges!N151&lt;&gt;0),1,0)+IF(AND(10&gt;Paramètres!$B$9,Charges!O151&lt;&gt;"",Charges!O151&lt;&gt;0),1,0)+IF(AND(11&gt;Paramètres!$B$9,Charges!P151&lt;&gt;"",Charges!P151&lt;&gt;0),1,0)+IF(AND(12&gt;Paramètres!$B$9,Charges!Q151&lt;&gt;"",Charges!Q151&lt;&gt;0),1,0)+IF(AND(13&gt;Paramètres!$B$9,Charges!R151&lt;&gt;"",Charges!R151&lt;&gt;0),1,0)</f>
        <v>0</v>
      </c>
      <c r="V151" t="n">
        <f>IF(IFERROR(VLOOKUP(A151,'Projets'!$A$8:$Z$67,5,FALSE),"")="Engager",1,0)</f>
        <v>0</v>
      </c>
      <c r="W151" t="n">
        <f>IF(IFERROR(VLOOKUP(A151,'Projets'!$A$8:$Z$67,6,FALSE),"")="Engager",1,0)</f>
        <v>0</v>
      </c>
      <c r="X151" t="n">
        <f>E151*S151</f>
        <v>0</v>
      </c>
      <c r="Y151" t="n">
        <f>F151*S151</f>
        <v>0</v>
      </c>
      <c r="Z151" t="n">
        <f>G151*S151</f>
        <v>0</v>
      </c>
      <c r="AA151" t="n">
        <f>H151*S151</f>
        <v>0</v>
      </c>
      <c r="AB151" t="n">
        <f>I151*S151</f>
        <v>0</v>
      </c>
      <c r="AC151" t="n">
        <f>J151*S151</f>
        <v>0</v>
      </c>
      <c r="AD151" t="n">
        <f>K151*S151</f>
        <v>0</v>
      </c>
      <c r="AE151" t="n">
        <f>L151*S151</f>
        <v>0</v>
      </c>
      <c r="AF151" t="n">
        <f>M151*S151</f>
        <v>0</v>
      </c>
      <c r="AG151" t="n">
        <f>N151*S151</f>
        <v>0</v>
      </c>
      <c r="AH151" t="n">
        <f>O151*S151</f>
        <v>0</v>
      </c>
      <c r="AI151" t="n">
        <f>P151*S151</f>
        <v>0</v>
      </c>
      <c r="AJ151" t="n">
        <f>Q151*S151</f>
        <v>0</v>
      </c>
      <c r="AK151" t="n">
        <f>E151*V151</f>
        <v>0</v>
      </c>
      <c r="AL151" t="n">
        <f>F151*V151</f>
        <v>0</v>
      </c>
      <c r="AM151" t="n">
        <f>G151*V151</f>
        <v>0</v>
      </c>
      <c r="AN151" t="n">
        <f>H151*V151</f>
        <v>0</v>
      </c>
      <c r="AO151" t="n">
        <f>I151*V151</f>
        <v>0</v>
      </c>
      <c r="AP151" t="n">
        <f>J151*V151</f>
        <v>0</v>
      </c>
      <c r="AQ151" t="n">
        <f>K151*V151</f>
        <v>0</v>
      </c>
      <c r="AR151" t="n">
        <f>L151*V151</f>
        <v>0</v>
      </c>
      <c r="AS151" t="n">
        <f>M151*V151</f>
        <v>0</v>
      </c>
      <c r="AT151" t="n">
        <f>N151*V151</f>
        <v>0</v>
      </c>
      <c r="AU151" t="n">
        <f>O151*V151</f>
        <v>0</v>
      </c>
      <c r="AV151" t="n">
        <f>P151*V151</f>
        <v>0</v>
      </c>
      <c r="AW151" t="n">
        <f>Q151*V151</f>
        <v>0</v>
      </c>
      <c r="AX151" t="n">
        <f>E151*W151</f>
        <v>0</v>
      </c>
      <c r="AY151" t="n">
        <f>F151*W151</f>
        <v>0</v>
      </c>
      <c r="AZ151" t="n">
        <f>G151*W151</f>
        <v>0</v>
      </c>
      <c r="BA151" t="n">
        <f>H151*W151</f>
        <v>0</v>
      </c>
      <c r="BB151" t="n">
        <f>I151*W151</f>
        <v>0</v>
      </c>
      <c r="BC151" t="n">
        <f>J151*W151</f>
        <v>0</v>
      </c>
      <c r="BD151" t="n">
        <f>K151*W151</f>
        <v>0</v>
      </c>
      <c r="BE151" t="n">
        <f>L151*W151</f>
        <v>0</v>
      </c>
      <c r="BF151" t="n">
        <f>M151*W151</f>
        <v>0</v>
      </c>
      <c r="BG151" t="n">
        <f>N151*W151</f>
        <v>0</v>
      </c>
      <c r="BH151" t="n">
        <f>O151*W151</f>
        <v>0</v>
      </c>
      <c r="BI151" t="n">
        <f>P151*W151</f>
        <v>0</v>
      </c>
      <c r="BJ151" t="n">
        <f>Q151*W151</f>
        <v>0</v>
      </c>
    </row>
    <row r="152">
      <c r="A152" t="n">
        <f>Charges!A152</f>
        <v>0</v>
      </c>
      <c r="B152" t="n">
        <f>Charges!C152</f>
        <v>0</v>
      </c>
      <c r="C152" t="str">
        <f>Charges!D152</f>
        <v/>
      </c>
      <c r="E152" t="n">
        <f>IF(1&lt;=Paramètres!$B$9,MAX(0,IFERROR(N(IF(ISNUMBER(Charges!F152),MAX(0,Charges!F152),IFERROR(VLOOKUP(Charges!F152,Paramètres!$A$15:$B$18,2,FALSE),0))),0)),0)</f>
        <v>0</v>
      </c>
      <c r="F152" t="n">
        <f>IF(2&lt;=Paramètres!$B$9,MAX(0,IFERROR(N(IF(ISNUMBER(Charges!G152),MAX(0,Charges!G152),IFERROR(VLOOKUP(Charges!G152,Paramètres!$A$15:$B$18,2,FALSE),0))),0)),0)</f>
        <v>0</v>
      </c>
      <c r="G152" t="n">
        <f>IF(3&lt;=Paramètres!$B$9,MAX(0,IFERROR(N(IF(ISNUMBER(Charges!H152),MAX(0,Charges!H152),IFERROR(VLOOKUP(Charges!H152,Paramètres!$A$15:$B$18,2,FALSE),0))),0)),0)</f>
        <v>0</v>
      </c>
      <c r="H152" t="n">
        <f>IF(4&lt;=Paramètres!$B$9,MAX(0,IFERROR(N(IF(ISNUMBER(Charges!I152),MAX(0,Charges!I152),IFERROR(VLOOKUP(Charges!I152,Paramètres!$A$15:$B$18,2,FALSE),0))),0)),0)</f>
        <v>0</v>
      </c>
      <c r="I152" t="n">
        <f>IF(5&lt;=Paramètres!$B$9,MAX(0,IFERROR(N(IF(ISNUMBER(Charges!J152),MAX(0,Charges!J152),IFERROR(VLOOKUP(Charges!J152,Paramètres!$A$15:$B$18,2,FALSE),0))),0)),0)</f>
        <v>0</v>
      </c>
      <c r="J152" t="n">
        <f>IF(6&lt;=Paramètres!$B$9,MAX(0,IFERROR(N(IF(ISNUMBER(Charges!K152),MAX(0,Charges!K152),IFERROR(VLOOKUP(Charges!K152,Paramètres!$A$15:$B$18,2,FALSE),0))),0)),0)</f>
        <v>0</v>
      </c>
      <c r="K152" t="n">
        <f>IF(7&lt;=Paramètres!$B$9,MAX(0,IFERROR(N(IF(ISNUMBER(Charges!L152),MAX(0,Charges!L152),IFERROR(VLOOKUP(Charges!L152,Paramètres!$A$15:$B$18,2,FALSE),0))),0)),0)</f>
        <v>0</v>
      </c>
      <c r="L152" t="n">
        <f>IF(8&lt;=Paramètres!$B$9,MAX(0,IFERROR(N(IF(ISNUMBER(Charges!M152),MAX(0,Charges!M152),IFERROR(VLOOKUP(Charges!M152,Paramètres!$A$15:$B$18,2,FALSE),0))),0)),0)</f>
        <v>0</v>
      </c>
      <c r="M152" t="n">
        <f>IF(9&lt;=Paramètres!$B$9,MAX(0,IFERROR(N(IF(ISNUMBER(Charges!N152),MAX(0,Charges!N152),IFERROR(VLOOKUP(Charges!N152,Paramètres!$A$15:$B$18,2,FALSE),0))),0)),0)</f>
        <v>0</v>
      </c>
      <c r="N152" t="n">
        <f>IF(10&lt;=Paramètres!$B$9,MAX(0,IFERROR(N(IF(ISNUMBER(Charges!O152),MAX(0,Charges!O152),IFERROR(VLOOKUP(Charges!O152,Paramètres!$A$15:$B$18,2,FALSE),0))),0)),0)</f>
        <v>0</v>
      </c>
      <c r="O152" t="n">
        <f>IF(11&lt;=Paramètres!$B$9,MAX(0,IFERROR(N(IF(ISNUMBER(Charges!P152),MAX(0,Charges!P152),IFERROR(VLOOKUP(Charges!P152,Paramètres!$A$15:$B$18,2,FALSE),0))),0)),0)</f>
        <v>0</v>
      </c>
      <c r="P152" t="n">
        <f>IF(12&lt;=Paramètres!$B$9,MAX(0,IFERROR(N(IF(ISNUMBER(Charges!Q152),MAX(0,Charges!Q152),IFERROR(VLOOKUP(Charges!Q152,Paramètres!$A$15:$B$18,2,FALSE),0))),0)),0)</f>
        <v>0</v>
      </c>
      <c r="Q152" t="n">
        <f>IF(13&lt;=Paramètres!$B$9,MAX(0,IFERROR(N(IF(ISNUMBER(Charges!R152),MAX(0,Charges!R152),IFERROR(VLOOKUP(Charges!R152,Paramètres!$A$15:$B$18,2,FALSE),0))),0)),0)</f>
        <v>0</v>
      </c>
      <c r="R152" t="n">
        <f>SUM(E152:Q152)</f>
        <v>0</v>
      </c>
      <c r="S152" t="n">
        <f>IF(IFERROR(VLOOKUP(A152,'Projets'!$A$8:$Z$67,7,FALSE),"")="Engager",1,0)</f>
        <v>0</v>
      </c>
      <c r="T152" t="n">
        <f>IF(OR(Charges!F152="",AND(ISNUMBER(Charges!F152),Charges!F152&gt;=0),Charges!F152="S",Charges!F152="M",Charges!F152="L",Charges!F152="XL"),0,1)+IF(OR(Charges!G152="",AND(ISNUMBER(Charges!G152),Charges!G152&gt;=0),Charges!G152="S",Charges!G152="M",Charges!G152="L",Charges!G152="XL"),0,1)+IF(OR(Charges!H152="",AND(ISNUMBER(Charges!H152),Charges!H152&gt;=0),Charges!H152="S",Charges!H152="M",Charges!H152="L",Charges!H152="XL"),0,1)+IF(OR(Charges!I152="",AND(ISNUMBER(Charges!I152),Charges!I152&gt;=0),Charges!I152="S",Charges!I152="M",Charges!I152="L",Charges!I152="XL"),0,1)+IF(OR(Charges!J152="",AND(ISNUMBER(Charges!J152),Charges!J152&gt;=0),Charges!J152="S",Charges!J152="M",Charges!J152="L",Charges!J152="XL"),0,1)+IF(OR(Charges!K152="",AND(ISNUMBER(Charges!K152),Charges!K152&gt;=0),Charges!K152="S",Charges!K152="M",Charges!K152="L",Charges!K152="XL"),0,1)+IF(OR(Charges!L152="",AND(ISNUMBER(Charges!L152),Charges!L152&gt;=0),Charges!L152="S",Charges!L152="M",Charges!L152="L",Charges!L152="XL"),0,1)+IF(OR(Charges!M152="",AND(ISNUMBER(Charges!M152),Charges!M152&gt;=0),Charges!M152="S",Charges!M152="M",Charges!M152="L",Charges!M152="XL"),0,1)+IF(OR(Charges!N152="",AND(ISNUMBER(Charges!N152),Charges!N152&gt;=0),Charges!N152="S",Charges!N152="M",Charges!N152="L",Charges!N152="XL"),0,1)+IF(OR(Charges!O152="",AND(ISNUMBER(Charges!O152),Charges!O152&gt;=0),Charges!O152="S",Charges!O152="M",Charges!O152="L",Charges!O152="XL"),0,1)+IF(OR(Charges!P152="",AND(ISNUMBER(Charges!P152),Charges!P152&gt;=0),Charges!P152="S",Charges!P152="M",Charges!P152="L",Charges!P152="XL"),0,1)+IF(OR(Charges!Q152="",AND(ISNUMBER(Charges!Q152),Charges!Q152&gt;=0),Charges!Q152="S",Charges!Q152="M",Charges!Q152="L",Charges!Q152="XL"),0,1)+IF(OR(Charges!R152="",AND(ISNUMBER(Charges!R152),Charges!R152&gt;=0),Charges!R152="S",Charges!R152="M",Charges!R152="L",Charges!R152="XL"),0,1)</f>
        <v>0</v>
      </c>
      <c r="U152" t="n">
        <f>IF(AND(1&gt;Paramètres!$B$9,Charges!F152&lt;&gt;"",Charges!F152&lt;&gt;0),1,0)+IF(AND(2&gt;Paramètres!$B$9,Charges!G152&lt;&gt;"",Charges!G152&lt;&gt;0),1,0)+IF(AND(3&gt;Paramètres!$B$9,Charges!H152&lt;&gt;"",Charges!H152&lt;&gt;0),1,0)+IF(AND(4&gt;Paramètres!$B$9,Charges!I152&lt;&gt;"",Charges!I152&lt;&gt;0),1,0)+IF(AND(5&gt;Paramètres!$B$9,Charges!J152&lt;&gt;"",Charges!J152&lt;&gt;0),1,0)+IF(AND(6&gt;Paramètres!$B$9,Charges!K152&lt;&gt;"",Charges!K152&lt;&gt;0),1,0)+IF(AND(7&gt;Paramètres!$B$9,Charges!L152&lt;&gt;"",Charges!L152&lt;&gt;0),1,0)+IF(AND(8&gt;Paramètres!$B$9,Charges!M152&lt;&gt;"",Charges!M152&lt;&gt;0),1,0)+IF(AND(9&gt;Paramètres!$B$9,Charges!N152&lt;&gt;"",Charges!N152&lt;&gt;0),1,0)+IF(AND(10&gt;Paramètres!$B$9,Charges!O152&lt;&gt;"",Charges!O152&lt;&gt;0),1,0)+IF(AND(11&gt;Paramètres!$B$9,Charges!P152&lt;&gt;"",Charges!P152&lt;&gt;0),1,0)+IF(AND(12&gt;Paramètres!$B$9,Charges!Q152&lt;&gt;"",Charges!Q152&lt;&gt;0),1,0)+IF(AND(13&gt;Paramètres!$B$9,Charges!R152&lt;&gt;"",Charges!R152&lt;&gt;0),1,0)</f>
        <v>0</v>
      </c>
      <c r="V152" t="n">
        <f>IF(IFERROR(VLOOKUP(A152,'Projets'!$A$8:$Z$67,5,FALSE),"")="Engager",1,0)</f>
        <v>0</v>
      </c>
      <c r="W152" t="n">
        <f>IF(IFERROR(VLOOKUP(A152,'Projets'!$A$8:$Z$67,6,FALSE),"")="Engager",1,0)</f>
        <v>0</v>
      </c>
      <c r="X152" t="n">
        <f>E152*S152</f>
        <v>0</v>
      </c>
      <c r="Y152" t="n">
        <f>F152*S152</f>
        <v>0</v>
      </c>
      <c r="Z152" t="n">
        <f>G152*S152</f>
        <v>0</v>
      </c>
      <c r="AA152" t="n">
        <f>H152*S152</f>
        <v>0</v>
      </c>
      <c r="AB152" t="n">
        <f>I152*S152</f>
        <v>0</v>
      </c>
      <c r="AC152" t="n">
        <f>J152*S152</f>
        <v>0</v>
      </c>
      <c r="AD152" t="n">
        <f>K152*S152</f>
        <v>0</v>
      </c>
      <c r="AE152" t="n">
        <f>L152*S152</f>
        <v>0</v>
      </c>
      <c r="AF152" t="n">
        <f>M152*S152</f>
        <v>0</v>
      </c>
      <c r="AG152" t="n">
        <f>N152*S152</f>
        <v>0</v>
      </c>
      <c r="AH152" t="n">
        <f>O152*S152</f>
        <v>0</v>
      </c>
      <c r="AI152" t="n">
        <f>P152*S152</f>
        <v>0</v>
      </c>
      <c r="AJ152" t="n">
        <f>Q152*S152</f>
        <v>0</v>
      </c>
      <c r="AK152" t="n">
        <f>E152*V152</f>
        <v>0</v>
      </c>
      <c r="AL152" t="n">
        <f>F152*V152</f>
        <v>0</v>
      </c>
      <c r="AM152" t="n">
        <f>G152*V152</f>
        <v>0</v>
      </c>
      <c r="AN152" t="n">
        <f>H152*V152</f>
        <v>0</v>
      </c>
      <c r="AO152" t="n">
        <f>I152*V152</f>
        <v>0</v>
      </c>
      <c r="AP152" t="n">
        <f>J152*V152</f>
        <v>0</v>
      </c>
      <c r="AQ152" t="n">
        <f>K152*V152</f>
        <v>0</v>
      </c>
      <c r="AR152" t="n">
        <f>L152*V152</f>
        <v>0</v>
      </c>
      <c r="AS152" t="n">
        <f>M152*V152</f>
        <v>0</v>
      </c>
      <c r="AT152" t="n">
        <f>N152*V152</f>
        <v>0</v>
      </c>
      <c r="AU152" t="n">
        <f>O152*V152</f>
        <v>0</v>
      </c>
      <c r="AV152" t="n">
        <f>P152*V152</f>
        <v>0</v>
      </c>
      <c r="AW152" t="n">
        <f>Q152*V152</f>
        <v>0</v>
      </c>
      <c r="AX152" t="n">
        <f>E152*W152</f>
        <v>0</v>
      </c>
      <c r="AY152" t="n">
        <f>F152*W152</f>
        <v>0</v>
      </c>
      <c r="AZ152" t="n">
        <f>G152*W152</f>
        <v>0</v>
      </c>
      <c r="BA152" t="n">
        <f>H152*W152</f>
        <v>0</v>
      </c>
      <c r="BB152" t="n">
        <f>I152*W152</f>
        <v>0</v>
      </c>
      <c r="BC152" t="n">
        <f>J152*W152</f>
        <v>0</v>
      </c>
      <c r="BD152" t="n">
        <f>K152*W152</f>
        <v>0</v>
      </c>
      <c r="BE152" t="n">
        <f>L152*W152</f>
        <v>0</v>
      </c>
      <c r="BF152" t="n">
        <f>M152*W152</f>
        <v>0</v>
      </c>
      <c r="BG152" t="n">
        <f>N152*W152</f>
        <v>0</v>
      </c>
      <c r="BH152" t="n">
        <f>O152*W152</f>
        <v>0</v>
      </c>
      <c r="BI152" t="n">
        <f>P152*W152</f>
        <v>0</v>
      </c>
      <c r="BJ152" t="n">
        <f>Q152*W152</f>
        <v>0</v>
      </c>
    </row>
    <row r="153">
      <c r="A153" t="n">
        <f>Charges!A153</f>
        <v>0</v>
      </c>
      <c r="B153" t="n">
        <f>Charges!C153</f>
        <v>0</v>
      </c>
      <c r="C153" t="str">
        <f>Charges!D153</f>
        <v/>
      </c>
      <c r="E153" t="n">
        <f>IF(1&lt;=Paramètres!$B$9,MAX(0,IFERROR(N(IF(ISNUMBER(Charges!F153),MAX(0,Charges!F153),IFERROR(VLOOKUP(Charges!F153,Paramètres!$A$15:$B$18,2,FALSE),0))),0)),0)</f>
        <v>0</v>
      </c>
      <c r="F153" t="n">
        <f>IF(2&lt;=Paramètres!$B$9,MAX(0,IFERROR(N(IF(ISNUMBER(Charges!G153),MAX(0,Charges!G153),IFERROR(VLOOKUP(Charges!G153,Paramètres!$A$15:$B$18,2,FALSE),0))),0)),0)</f>
        <v>0</v>
      </c>
      <c r="G153" t="n">
        <f>IF(3&lt;=Paramètres!$B$9,MAX(0,IFERROR(N(IF(ISNUMBER(Charges!H153),MAX(0,Charges!H153),IFERROR(VLOOKUP(Charges!H153,Paramètres!$A$15:$B$18,2,FALSE),0))),0)),0)</f>
        <v>0</v>
      </c>
      <c r="H153" t="n">
        <f>IF(4&lt;=Paramètres!$B$9,MAX(0,IFERROR(N(IF(ISNUMBER(Charges!I153),MAX(0,Charges!I153),IFERROR(VLOOKUP(Charges!I153,Paramètres!$A$15:$B$18,2,FALSE),0))),0)),0)</f>
        <v>0</v>
      </c>
      <c r="I153" t="n">
        <f>IF(5&lt;=Paramètres!$B$9,MAX(0,IFERROR(N(IF(ISNUMBER(Charges!J153),MAX(0,Charges!J153),IFERROR(VLOOKUP(Charges!J153,Paramètres!$A$15:$B$18,2,FALSE),0))),0)),0)</f>
        <v>0</v>
      </c>
      <c r="J153" t="n">
        <f>IF(6&lt;=Paramètres!$B$9,MAX(0,IFERROR(N(IF(ISNUMBER(Charges!K153),MAX(0,Charges!K153),IFERROR(VLOOKUP(Charges!K153,Paramètres!$A$15:$B$18,2,FALSE),0))),0)),0)</f>
        <v>0</v>
      </c>
      <c r="K153" t="n">
        <f>IF(7&lt;=Paramètres!$B$9,MAX(0,IFERROR(N(IF(ISNUMBER(Charges!L153),MAX(0,Charges!L153),IFERROR(VLOOKUP(Charges!L153,Paramètres!$A$15:$B$18,2,FALSE),0))),0)),0)</f>
        <v>0</v>
      </c>
      <c r="L153" t="n">
        <f>IF(8&lt;=Paramètres!$B$9,MAX(0,IFERROR(N(IF(ISNUMBER(Charges!M153),MAX(0,Charges!M153),IFERROR(VLOOKUP(Charges!M153,Paramètres!$A$15:$B$18,2,FALSE),0))),0)),0)</f>
        <v>0</v>
      </c>
      <c r="M153" t="n">
        <f>IF(9&lt;=Paramètres!$B$9,MAX(0,IFERROR(N(IF(ISNUMBER(Charges!N153),MAX(0,Charges!N153),IFERROR(VLOOKUP(Charges!N153,Paramètres!$A$15:$B$18,2,FALSE),0))),0)),0)</f>
        <v>0</v>
      </c>
      <c r="N153" t="n">
        <f>IF(10&lt;=Paramètres!$B$9,MAX(0,IFERROR(N(IF(ISNUMBER(Charges!O153),MAX(0,Charges!O153),IFERROR(VLOOKUP(Charges!O153,Paramètres!$A$15:$B$18,2,FALSE),0))),0)),0)</f>
        <v>0</v>
      </c>
      <c r="O153" t="n">
        <f>IF(11&lt;=Paramètres!$B$9,MAX(0,IFERROR(N(IF(ISNUMBER(Charges!P153),MAX(0,Charges!P153),IFERROR(VLOOKUP(Charges!P153,Paramètres!$A$15:$B$18,2,FALSE),0))),0)),0)</f>
        <v>0</v>
      </c>
      <c r="P153" t="n">
        <f>IF(12&lt;=Paramètres!$B$9,MAX(0,IFERROR(N(IF(ISNUMBER(Charges!Q153),MAX(0,Charges!Q153),IFERROR(VLOOKUP(Charges!Q153,Paramètres!$A$15:$B$18,2,FALSE),0))),0)),0)</f>
        <v>0</v>
      </c>
      <c r="Q153" t="n">
        <f>IF(13&lt;=Paramètres!$B$9,MAX(0,IFERROR(N(IF(ISNUMBER(Charges!R153),MAX(0,Charges!R153),IFERROR(VLOOKUP(Charges!R153,Paramètres!$A$15:$B$18,2,FALSE),0))),0)),0)</f>
        <v>0</v>
      </c>
      <c r="R153" t="n">
        <f>SUM(E153:Q153)</f>
        <v>0</v>
      </c>
      <c r="S153" t="n">
        <f>IF(IFERROR(VLOOKUP(A153,'Projets'!$A$8:$Z$67,7,FALSE),"")="Engager",1,0)</f>
        <v>0</v>
      </c>
      <c r="T153" t="n">
        <f>IF(OR(Charges!F153="",AND(ISNUMBER(Charges!F153),Charges!F153&gt;=0),Charges!F153="S",Charges!F153="M",Charges!F153="L",Charges!F153="XL"),0,1)+IF(OR(Charges!G153="",AND(ISNUMBER(Charges!G153),Charges!G153&gt;=0),Charges!G153="S",Charges!G153="M",Charges!G153="L",Charges!G153="XL"),0,1)+IF(OR(Charges!H153="",AND(ISNUMBER(Charges!H153),Charges!H153&gt;=0),Charges!H153="S",Charges!H153="M",Charges!H153="L",Charges!H153="XL"),0,1)+IF(OR(Charges!I153="",AND(ISNUMBER(Charges!I153),Charges!I153&gt;=0),Charges!I153="S",Charges!I153="M",Charges!I153="L",Charges!I153="XL"),0,1)+IF(OR(Charges!J153="",AND(ISNUMBER(Charges!J153),Charges!J153&gt;=0),Charges!J153="S",Charges!J153="M",Charges!J153="L",Charges!J153="XL"),0,1)+IF(OR(Charges!K153="",AND(ISNUMBER(Charges!K153),Charges!K153&gt;=0),Charges!K153="S",Charges!K153="M",Charges!K153="L",Charges!K153="XL"),0,1)+IF(OR(Charges!L153="",AND(ISNUMBER(Charges!L153),Charges!L153&gt;=0),Charges!L153="S",Charges!L153="M",Charges!L153="L",Charges!L153="XL"),0,1)+IF(OR(Charges!M153="",AND(ISNUMBER(Charges!M153),Charges!M153&gt;=0),Charges!M153="S",Charges!M153="M",Charges!M153="L",Charges!M153="XL"),0,1)+IF(OR(Charges!N153="",AND(ISNUMBER(Charges!N153),Charges!N153&gt;=0),Charges!N153="S",Charges!N153="M",Charges!N153="L",Charges!N153="XL"),0,1)+IF(OR(Charges!O153="",AND(ISNUMBER(Charges!O153),Charges!O153&gt;=0),Charges!O153="S",Charges!O153="M",Charges!O153="L",Charges!O153="XL"),0,1)+IF(OR(Charges!P153="",AND(ISNUMBER(Charges!P153),Charges!P153&gt;=0),Charges!P153="S",Charges!P153="M",Charges!P153="L",Charges!P153="XL"),0,1)+IF(OR(Charges!Q153="",AND(ISNUMBER(Charges!Q153),Charges!Q153&gt;=0),Charges!Q153="S",Charges!Q153="M",Charges!Q153="L",Charges!Q153="XL"),0,1)+IF(OR(Charges!R153="",AND(ISNUMBER(Charges!R153),Charges!R153&gt;=0),Charges!R153="S",Charges!R153="M",Charges!R153="L",Charges!R153="XL"),0,1)</f>
        <v>0</v>
      </c>
      <c r="U153" t="n">
        <f>IF(AND(1&gt;Paramètres!$B$9,Charges!F153&lt;&gt;"",Charges!F153&lt;&gt;0),1,0)+IF(AND(2&gt;Paramètres!$B$9,Charges!G153&lt;&gt;"",Charges!G153&lt;&gt;0),1,0)+IF(AND(3&gt;Paramètres!$B$9,Charges!H153&lt;&gt;"",Charges!H153&lt;&gt;0),1,0)+IF(AND(4&gt;Paramètres!$B$9,Charges!I153&lt;&gt;"",Charges!I153&lt;&gt;0),1,0)+IF(AND(5&gt;Paramètres!$B$9,Charges!J153&lt;&gt;"",Charges!J153&lt;&gt;0),1,0)+IF(AND(6&gt;Paramètres!$B$9,Charges!K153&lt;&gt;"",Charges!K153&lt;&gt;0),1,0)+IF(AND(7&gt;Paramètres!$B$9,Charges!L153&lt;&gt;"",Charges!L153&lt;&gt;0),1,0)+IF(AND(8&gt;Paramètres!$B$9,Charges!M153&lt;&gt;"",Charges!M153&lt;&gt;0),1,0)+IF(AND(9&gt;Paramètres!$B$9,Charges!N153&lt;&gt;"",Charges!N153&lt;&gt;0),1,0)+IF(AND(10&gt;Paramètres!$B$9,Charges!O153&lt;&gt;"",Charges!O153&lt;&gt;0),1,0)+IF(AND(11&gt;Paramètres!$B$9,Charges!P153&lt;&gt;"",Charges!P153&lt;&gt;0),1,0)+IF(AND(12&gt;Paramètres!$B$9,Charges!Q153&lt;&gt;"",Charges!Q153&lt;&gt;0),1,0)+IF(AND(13&gt;Paramètres!$B$9,Charges!R153&lt;&gt;"",Charges!R153&lt;&gt;0),1,0)</f>
        <v>0</v>
      </c>
      <c r="V153" t="n">
        <f>IF(IFERROR(VLOOKUP(A153,'Projets'!$A$8:$Z$67,5,FALSE),"")="Engager",1,0)</f>
        <v>0</v>
      </c>
      <c r="W153" t="n">
        <f>IF(IFERROR(VLOOKUP(A153,'Projets'!$A$8:$Z$67,6,FALSE),"")="Engager",1,0)</f>
        <v>0</v>
      </c>
      <c r="X153" t="n">
        <f>E153*S153</f>
        <v>0</v>
      </c>
      <c r="Y153" t="n">
        <f>F153*S153</f>
        <v>0</v>
      </c>
      <c r="Z153" t="n">
        <f>G153*S153</f>
        <v>0</v>
      </c>
      <c r="AA153" t="n">
        <f>H153*S153</f>
        <v>0</v>
      </c>
      <c r="AB153" t="n">
        <f>I153*S153</f>
        <v>0</v>
      </c>
      <c r="AC153" t="n">
        <f>J153*S153</f>
        <v>0</v>
      </c>
      <c r="AD153" t="n">
        <f>K153*S153</f>
        <v>0</v>
      </c>
      <c r="AE153" t="n">
        <f>L153*S153</f>
        <v>0</v>
      </c>
      <c r="AF153" t="n">
        <f>M153*S153</f>
        <v>0</v>
      </c>
      <c r="AG153" t="n">
        <f>N153*S153</f>
        <v>0</v>
      </c>
      <c r="AH153" t="n">
        <f>O153*S153</f>
        <v>0</v>
      </c>
      <c r="AI153" t="n">
        <f>P153*S153</f>
        <v>0</v>
      </c>
      <c r="AJ153" t="n">
        <f>Q153*S153</f>
        <v>0</v>
      </c>
      <c r="AK153" t="n">
        <f>E153*V153</f>
        <v>0</v>
      </c>
      <c r="AL153" t="n">
        <f>F153*V153</f>
        <v>0</v>
      </c>
      <c r="AM153" t="n">
        <f>G153*V153</f>
        <v>0</v>
      </c>
      <c r="AN153" t="n">
        <f>H153*V153</f>
        <v>0</v>
      </c>
      <c r="AO153" t="n">
        <f>I153*V153</f>
        <v>0</v>
      </c>
      <c r="AP153" t="n">
        <f>J153*V153</f>
        <v>0</v>
      </c>
      <c r="AQ153" t="n">
        <f>K153*V153</f>
        <v>0</v>
      </c>
      <c r="AR153" t="n">
        <f>L153*V153</f>
        <v>0</v>
      </c>
      <c r="AS153" t="n">
        <f>M153*V153</f>
        <v>0</v>
      </c>
      <c r="AT153" t="n">
        <f>N153*V153</f>
        <v>0</v>
      </c>
      <c r="AU153" t="n">
        <f>O153*V153</f>
        <v>0</v>
      </c>
      <c r="AV153" t="n">
        <f>P153*V153</f>
        <v>0</v>
      </c>
      <c r="AW153" t="n">
        <f>Q153*V153</f>
        <v>0</v>
      </c>
      <c r="AX153" t="n">
        <f>E153*W153</f>
        <v>0</v>
      </c>
      <c r="AY153" t="n">
        <f>F153*W153</f>
        <v>0</v>
      </c>
      <c r="AZ153" t="n">
        <f>G153*W153</f>
        <v>0</v>
      </c>
      <c r="BA153" t="n">
        <f>H153*W153</f>
        <v>0</v>
      </c>
      <c r="BB153" t="n">
        <f>I153*W153</f>
        <v>0</v>
      </c>
      <c r="BC153" t="n">
        <f>J153*W153</f>
        <v>0</v>
      </c>
      <c r="BD153" t="n">
        <f>K153*W153</f>
        <v>0</v>
      </c>
      <c r="BE153" t="n">
        <f>L153*W153</f>
        <v>0</v>
      </c>
      <c r="BF153" t="n">
        <f>M153*W153</f>
        <v>0</v>
      </c>
      <c r="BG153" t="n">
        <f>N153*W153</f>
        <v>0</v>
      </c>
      <c r="BH153" t="n">
        <f>O153*W153</f>
        <v>0</v>
      </c>
      <c r="BI153" t="n">
        <f>P153*W153</f>
        <v>0</v>
      </c>
      <c r="BJ153" t="n">
        <f>Q153*W153</f>
        <v>0</v>
      </c>
    </row>
    <row r="154">
      <c r="A154" t="n">
        <f>Charges!A154</f>
        <v>0</v>
      </c>
      <c r="B154" t="n">
        <f>Charges!C154</f>
        <v>0</v>
      </c>
      <c r="C154" t="str">
        <f>Charges!D154</f>
        <v/>
      </c>
      <c r="E154" t="n">
        <f>IF(1&lt;=Paramètres!$B$9,MAX(0,IFERROR(N(IF(ISNUMBER(Charges!F154),MAX(0,Charges!F154),IFERROR(VLOOKUP(Charges!F154,Paramètres!$A$15:$B$18,2,FALSE),0))),0)),0)</f>
        <v>0</v>
      </c>
      <c r="F154" t="n">
        <f>IF(2&lt;=Paramètres!$B$9,MAX(0,IFERROR(N(IF(ISNUMBER(Charges!G154),MAX(0,Charges!G154),IFERROR(VLOOKUP(Charges!G154,Paramètres!$A$15:$B$18,2,FALSE),0))),0)),0)</f>
        <v>0</v>
      </c>
      <c r="G154" t="n">
        <f>IF(3&lt;=Paramètres!$B$9,MAX(0,IFERROR(N(IF(ISNUMBER(Charges!H154),MAX(0,Charges!H154),IFERROR(VLOOKUP(Charges!H154,Paramètres!$A$15:$B$18,2,FALSE),0))),0)),0)</f>
        <v>0</v>
      </c>
      <c r="H154" t="n">
        <f>IF(4&lt;=Paramètres!$B$9,MAX(0,IFERROR(N(IF(ISNUMBER(Charges!I154),MAX(0,Charges!I154),IFERROR(VLOOKUP(Charges!I154,Paramètres!$A$15:$B$18,2,FALSE),0))),0)),0)</f>
        <v>0</v>
      </c>
      <c r="I154" t="n">
        <f>IF(5&lt;=Paramètres!$B$9,MAX(0,IFERROR(N(IF(ISNUMBER(Charges!J154),MAX(0,Charges!J154),IFERROR(VLOOKUP(Charges!J154,Paramètres!$A$15:$B$18,2,FALSE),0))),0)),0)</f>
        <v>0</v>
      </c>
      <c r="J154" t="n">
        <f>IF(6&lt;=Paramètres!$B$9,MAX(0,IFERROR(N(IF(ISNUMBER(Charges!K154),MAX(0,Charges!K154),IFERROR(VLOOKUP(Charges!K154,Paramètres!$A$15:$B$18,2,FALSE),0))),0)),0)</f>
        <v>0</v>
      </c>
      <c r="K154" t="n">
        <f>IF(7&lt;=Paramètres!$B$9,MAX(0,IFERROR(N(IF(ISNUMBER(Charges!L154),MAX(0,Charges!L154),IFERROR(VLOOKUP(Charges!L154,Paramètres!$A$15:$B$18,2,FALSE),0))),0)),0)</f>
        <v>0</v>
      </c>
      <c r="L154" t="n">
        <f>IF(8&lt;=Paramètres!$B$9,MAX(0,IFERROR(N(IF(ISNUMBER(Charges!M154),MAX(0,Charges!M154),IFERROR(VLOOKUP(Charges!M154,Paramètres!$A$15:$B$18,2,FALSE),0))),0)),0)</f>
        <v>0</v>
      </c>
      <c r="M154" t="n">
        <f>IF(9&lt;=Paramètres!$B$9,MAX(0,IFERROR(N(IF(ISNUMBER(Charges!N154),MAX(0,Charges!N154),IFERROR(VLOOKUP(Charges!N154,Paramètres!$A$15:$B$18,2,FALSE),0))),0)),0)</f>
        <v>0</v>
      </c>
      <c r="N154" t="n">
        <f>IF(10&lt;=Paramètres!$B$9,MAX(0,IFERROR(N(IF(ISNUMBER(Charges!O154),MAX(0,Charges!O154),IFERROR(VLOOKUP(Charges!O154,Paramètres!$A$15:$B$18,2,FALSE),0))),0)),0)</f>
        <v>0</v>
      </c>
      <c r="O154" t="n">
        <f>IF(11&lt;=Paramètres!$B$9,MAX(0,IFERROR(N(IF(ISNUMBER(Charges!P154),MAX(0,Charges!P154),IFERROR(VLOOKUP(Charges!P154,Paramètres!$A$15:$B$18,2,FALSE),0))),0)),0)</f>
        <v>0</v>
      </c>
      <c r="P154" t="n">
        <f>IF(12&lt;=Paramètres!$B$9,MAX(0,IFERROR(N(IF(ISNUMBER(Charges!Q154),MAX(0,Charges!Q154),IFERROR(VLOOKUP(Charges!Q154,Paramètres!$A$15:$B$18,2,FALSE),0))),0)),0)</f>
        <v>0</v>
      </c>
      <c r="Q154" t="n">
        <f>IF(13&lt;=Paramètres!$B$9,MAX(0,IFERROR(N(IF(ISNUMBER(Charges!R154),MAX(0,Charges!R154),IFERROR(VLOOKUP(Charges!R154,Paramètres!$A$15:$B$18,2,FALSE),0))),0)),0)</f>
        <v>0</v>
      </c>
      <c r="R154" t="n">
        <f>SUM(E154:Q154)</f>
        <v>0</v>
      </c>
      <c r="S154" t="n">
        <f>IF(IFERROR(VLOOKUP(A154,'Projets'!$A$8:$Z$67,7,FALSE),"")="Engager",1,0)</f>
        <v>0</v>
      </c>
      <c r="T154" t="n">
        <f>IF(OR(Charges!F154="",AND(ISNUMBER(Charges!F154),Charges!F154&gt;=0),Charges!F154="S",Charges!F154="M",Charges!F154="L",Charges!F154="XL"),0,1)+IF(OR(Charges!G154="",AND(ISNUMBER(Charges!G154),Charges!G154&gt;=0),Charges!G154="S",Charges!G154="M",Charges!G154="L",Charges!G154="XL"),0,1)+IF(OR(Charges!H154="",AND(ISNUMBER(Charges!H154),Charges!H154&gt;=0),Charges!H154="S",Charges!H154="M",Charges!H154="L",Charges!H154="XL"),0,1)+IF(OR(Charges!I154="",AND(ISNUMBER(Charges!I154),Charges!I154&gt;=0),Charges!I154="S",Charges!I154="M",Charges!I154="L",Charges!I154="XL"),0,1)+IF(OR(Charges!J154="",AND(ISNUMBER(Charges!J154),Charges!J154&gt;=0),Charges!J154="S",Charges!J154="M",Charges!J154="L",Charges!J154="XL"),0,1)+IF(OR(Charges!K154="",AND(ISNUMBER(Charges!K154),Charges!K154&gt;=0),Charges!K154="S",Charges!K154="M",Charges!K154="L",Charges!K154="XL"),0,1)+IF(OR(Charges!L154="",AND(ISNUMBER(Charges!L154),Charges!L154&gt;=0),Charges!L154="S",Charges!L154="M",Charges!L154="L",Charges!L154="XL"),0,1)+IF(OR(Charges!M154="",AND(ISNUMBER(Charges!M154),Charges!M154&gt;=0),Charges!M154="S",Charges!M154="M",Charges!M154="L",Charges!M154="XL"),0,1)+IF(OR(Charges!N154="",AND(ISNUMBER(Charges!N154),Charges!N154&gt;=0),Charges!N154="S",Charges!N154="M",Charges!N154="L",Charges!N154="XL"),0,1)+IF(OR(Charges!O154="",AND(ISNUMBER(Charges!O154),Charges!O154&gt;=0),Charges!O154="S",Charges!O154="M",Charges!O154="L",Charges!O154="XL"),0,1)+IF(OR(Charges!P154="",AND(ISNUMBER(Charges!P154),Charges!P154&gt;=0),Charges!P154="S",Charges!P154="M",Charges!P154="L",Charges!P154="XL"),0,1)+IF(OR(Charges!Q154="",AND(ISNUMBER(Charges!Q154),Charges!Q154&gt;=0),Charges!Q154="S",Charges!Q154="M",Charges!Q154="L",Charges!Q154="XL"),0,1)+IF(OR(Charges!R154="",AND(ISNUMBER(Charges!R154),Charges!R154&gt;=0),Charges!R154="S",Charges!R154="M",Charges!R154="L",Charges!R154="XL"),0,1)</f>
        <v>0</v>
      </c>
      <c r="U154" t="n">
        <f>IF(AND(1&gt;Paramètres!$B$9,Charges!F154&lt;&gt;"",Charges!F154&lt;&gt;0),1,0)+IF(AND(2&gt;Paramètres!$B$9,Charges!G154&lt;&gt;"",Charges!G154&lt;&gt;0),1,0)+IF(AND(3&gt;Paramètres!$B$9,Charges!H154&lt;&gt;"",Charges!H154&lt;&gt;0),1,0)+IF(AND(4&gt;Paramètres!$B$9,Charges!I154&lt;&gt;"",Charges!I154&lt;&gt;0),1,0)+IF(AND(5&gt;Paramètres!$B$9,Charges!J154&lt;&gt;"",Charges!J154&lt;&gt;0),1,0)+IF(AND(6&gt;Paramètres!$B$9,Charges!K154&lt;&gt;"",Charges!K154&lt;&gt;0),1,0)+IF(AND(7&gt;Paramètres!$B$9,Charges!L154&lt;&gt;"",Charges!L154&lt;&gt;0),1,0)+IF(AND(8&gt;Paramètres!$B$9,Charges!M154&lt;&gt;"",Charges!M154&lt;&gt;0),1,0)+IF(AND(9&gt;Paramètres!$B$9,Charges!N154&lt;&gt;"",Charges!N154&lt;&gt;0),1,0)+IF(AND(10&gt;Paramètres!$B$9,Charges!O154&lt;&gt;"",Charges!O154&lt;&gt;0),1,0)+IF(AND(11&gt;Paramètres!$B$9,Charges!P154&lt;&gt;"",Charges!P154&lt;&gt;0),1,0)+IF(AND(12&gt;Paramètres!$B$9,Charges!Q154&lt;&gt;"",Charges!Q154&lt;&gt;0),1,0)+IF(AND(13&gt;Paramètres!$B$9,Charges!R154&lt;&gt;"",Charges!R154&lt;&gt;0),1,0)</f>
        <v>0</v>
      </c>
      <c r="V154" t="n">
        <f>IF(IFERROR(VLOOKUP(A154,'Projets'!$A$8:$Z$67,5,FALSE),"")="Engager",1,0)</f>
        <v>0</v>
      </c>
      <c r="W154" t="n">
        <f>IF(IFERROR(VLOOKUP(A154,'Projets'!$A$8:$Z$67,6,FALSE),"")="Engager",1,0)</f>
        <v>0</v>
      </c>
      <c r="X154" t="n">
        <f>E154*S154</f>
        <v>0</v>
      </c>
      <c r="Y154" t="n">
        <f>F154*S154</f>
        <v>0</v>
      </c>
      <c r="Z154" t="n">
        <f>G154*S154</f>
        <v>0</v>
      </c>
      <c r="AA154" t="n">
        <f>H154*S154</f>
        <v>0</v>
      </c>
      <c r="AB154" t="n">
        <f>I154*S154</f>
        <v>0</v>
      </c>
      <c r="AC154" t="n">
        <f>J154*S154</f>
        <v>0</v>
      </c>
      <c r="AD154" t="n">
        <f>K154*S154</f>
        <v>0</v>
      </c>
      <c r="AE154" t="n">
        <f>L154*S154</f>
        <v>0</v>
      </c>
      <c r="AF154" t="n">
        <f>M154*S154</f>
        <v>0</v>
      </c>
      <c r="AG154" t="n">
        <f>N154*S154</f>
        <v>0</v>
      </c>
      <c r="AH154" t="n">
        <f>O154*S154</f>
        <v>0</v>
      </c>
      <c r="AI154" t="n">
        <f>P154*S154</f>
        <v>0</v>
      </c>
      <c r="AJ154" t="n">
        <f>Q154*S154</f>
        <v>0</v>
      </c>
      <c r="AK154" t="n">
        <f>E154*V154</f>
        <v>0</v>
      </c>
      <c r="AL154" t="n">
        <f>F154*V154</f>
        <v>0</v>
      </c>
      <c r="AM154" t="n">
        <f>G154*V154</f>
        <v>0</v>
      </c>
      <c r="AN154" t="n">
        <f>H154*V154</f>
        <v>0</v>
      </c>
      <c r="AO154" t="n">
        <f>I154*V154</f>
        <v>0</v>
      </c>
      <c r="AP154" t="n">
        <f>J154*V154</f>
        <v>0</v>
      </c>
      <c r="AQ154" t="n">
        <f>K154*V154</f>
        <v>0</v>
      </c>
      <c r="AR154" t="n">
        <f>L154*V154</f>
        <v>0</v>
      </c>
      <c r="AS154" t="n">
        <f>M154*V154</f>
        <v>0</v>
      </c>
      <c r="AT154" t="n">
        <f>N154*V154</f>
        <v>0</v>
      </c>
      <c r="AU154" t="n">
        <f>O154*V154</f>
        <v>0</v>
      </c>
      <c r="AV154" t="n">
        <f>P154*V154</f>
        <v>0</v>
      </c>
      <c r="AW154" t="n">
        <f>Q154*V154</f>
        <v>0</v>
      </c>
      <c r="AX154" t="n">
        <f>E154*W154</f>
        <v>0</v>
      </c>
      <c r="AY154" t="n">
        <f>F154*W154</f>
        <v>0</v>
      </c>
      <c r="AZ154" t="n">
        <f>G154*W154</f>
        <v>0</v>
      </c>
      <c r="BA154" t="n">
        <f>H154*W154</f>
        <v>0</v>
      </c>
      <c r="BB154" t="n">
        <f>I154*W154</f>
        <v>0</v>
      </c>
      <c r="BC154" t="n">
        <f>J154*W154</f>
        <v>0</v>
      </c>
      <c r="BD154" t="n">
        <f>K154*W154</f>
        <v>0</v>
      </c>
      <c r="BE154" t="n">
        <f>L154*W154</f>
        <v>0</v>
      </c>
      <c r="BF154" t="n">
        <f>M154*W154</f>
        <v>0</v>
      </c>
      <c r="BG154" t="n">
        <f>N154*W154</f>
        <v>0</v>
      </c>
      <c r="BH154" t="n">
        <f>O154*W154</f>
        <v>0</v>
      </c>
      <c r="BI154" t="n">
        <f>P154*W154</f>
        <v>0</v>
      </c>
      <c r="BJ154" t="n">
        <f>Q154*W154</f>
        <v>0</v>
      </c>
    </row>
    <row r="155">
      <c r="A155" t="n">
        <f>Charges!A155</f>
        <v>0</v>
      </c>
      <c r="B155" t="n">
        <f>Charges!C155</f>
        <v>0</v>
      </c>
      <c r="C155" t="str">
        <f>Charges!D155</f>
        <v/>
      </c>
      <c r="E155" t="n">
        <f>IF(1&lt;=Paramètres!$B$9,MAX(0,IFERROR(N(IF(ISNUMBER(Charges!F155),MAX(0,Charges!F155),IFERROR(VLOOKUP(Charges!F155,Paramètres!$A$15:$B$18,2,FALSE),0))),0)),0)</f>
        <v>0</v>
      </c>
      <c r="F155" t="n">
        <f>IF(2&lt;=Paramètres!$B$9,MAX(0,IFERROR(N(IF(ISNUMBER(Charges!G155),MAX(0,Charges!G155),IFERROR(VLOOKUP(Charges!G155,Paramètres!$A$15:$B$18,2,FALSE),0))),0)),0)</f>
        <v>0</v>
      </c>
      <c r="G155" t="n">
        <f>IF(3&lt;=Paramètres!$B$9,MAX(0,IFERROR(N(IF(ISNUMBER(Charges!H155),MAX(0,Charges!H155),IFERROR(VLOOKUP(Charges!H155,Paramètres!$A$15:$B$18,2,FALSE),0))),0)),0)</f>
        <v>0</v>
      </c>
      <c r="H155" t="n">
        <f>IF(4&lt;=Paramètres!$B$9,MAX(0,IFERROR(N(IF(ISNUMBER(Charges!I155),MAX(0,Charges!I155),IFERROR(VLOOKUP(Charges!I155,Paramètres!$A$15:$B$18,2,FALSE),0))),0)),0)</f>
        <v>0</v>
      </c>
      <c r="I155" t="n">
        <f>IF(5&lt;=Paramètres!$B$9,MAX(0,IFERROR(N(IF(ISNUMBER(Charges!J155),MAX(0,Charges!J155),IFERROR(VLOOKUP(Charges!J155,Paramètres!$A$15:$B$18,2,FALSE),0))),0)),0)</f>
        <v>0</v>
      </c>
      <c r="J155" t="n">
        <f>IF(6&lt;=Paramètres!$B$9,MAX(0,IFERROR(N(IF(ISNUMBER(Charges!K155),MAX(0,Charges!K155),IFERROR(VLOOKUP(Charges!K155,Paramètres!$A$15:$B$18,2,FALSE),0))),0)),0)</f>
        <v>0</v>
      </c>
      <c r="K155" t="n">
        <f>IF(7&lt;=Paramètres!$B$9,MAX(0,IFERROR(N(IF(ISNUMBER(Charges!L155),MAX(0,Charges!L155),IFERROR(VLOOKUP(Charges!L155,Paramètres!$A$15:$B$18,2,FALSE),0))),0)),0)</f>
        <v>0</v>
      </c>
      <c r="L155" t="n">
        <f>IF(8&lt;=Paramètres!$B$9,MAX(0,IFERROR(N(IF(ISNUMBER(Charges!M155),MAX(0,Charges!M155),IFERROR(VLOOKUP(Charges!M155,Paramètres!$A$15:$B$18,2,FALSE),0))),0)),0)</f>
        <v>0</v>
      </c>
      <c r="M155" t="n">
        <f>IF(9&lt;=Paramètres!$B$9,MAX(0,IFERROR(N(IF(ISNUMBER(Charges!N155),MAX(0,Charges!N155),IFERROR(VLOOKUP(Charges!N155,Paramètres!$A$15:$B$18,2,FALSE),0))),0)),0)</f>
        <v>0</v>
      </c>
      <c r="N155" t="n">
        <f>IF(10&lt;=Paramètres!$B$9,MAX(0,IFERROR(N(IF(ISNUMBER(Charges!O155),MAX(0,Charges!O155),IFERROR(VLOOKUP(Charges!O155,Paramètres!$A$15:$B$18,2,FALSE),0))),0)),0)</f>
        <v>0</v>
      </c>
      <c r="O155" t="n">
        <f>IF(11&lt;=Paramètres!$B$9,MAX(0,IFERROR(N(IF(ISNUMBER(Charges!P155),MAX(0,Charges!P155),IFERROR(VLOOKUP(Charges!P155,Paramètres!$A$15:$B$18,2,FALSE),0))),0)),0)</f>
        <v>0</v>
      </c>
      <c r="P155" t="n">
        <f>IF(12&lt;=Paramètres!$B$9,MAX(0,IFERROR(N(IF(ISNUMBER(Charges!Q155),MAX(0,Charges!Q155),IFERROR(VLOOKUP(Charges!Q155,Paramètres!$A$15:$B$18,2,FALSE),0))),0)),0)</f>
        <v>0</v>
      </c>
      <c r="Q155" t="n">
        <f>IF(13&lt;=Paramètres!$B$9,MAX(0,IFERROR(N(IF(ISNUMBER(Charges!R155),MAX(0,Charges!R155),IFERROR(VLOOKUP(Charges!R155,Paramètres!$A$15:$B$18,2,FALSE),0))),0)),0)</f>
        <v>0</v>
      </c>
      <c r="R155" t="n">
        <f>SUM(E155:Q155)</f>
        <v>0</v>
      </c>
      <c r="S155" t="n">
        <f>IF(IFERROR(VLOOKUP(A155,'Projets'!$A$8:$Z$67,7,FALSE),"")="Engager",1,0)</f>
        <v>0</v>
      </c>
      <c r="T155" t="n">
        <f>IF(OR(Charges!F155="",AND(ISNUMBER(Charges!F155),Charges!F155&gt;=0),Charges!F155="S",Charges!F155="M",Charges!F155="L",Charges!F155="XL"),0,1)+IF(OR(Charges!G155="",AND(ISNUMBER(Charges!G155),Charges!G155&gt;=0),Charges!G155="S",Charges!G155="M",Charges!G155="L",Charges!G155="XL"),0,1)+IF(OR(Charges!H155="",AND(ISNUMBER(Charges!H155),Charges!H155&gt;=0),Charges!H155="S",Charges!H155="M",Charges!H155="L",Charges!H155="XL"),0,1)+IF(OR(Charges!I155="",AND(ISNUMBER(Charges!I155),Charges!I155&gt;=0),Charges!I155="S",Charges!I155="M",Charges!I155="L",Charges!I155="XL"),0,1)+IF(OR(Charges!J155="",AND(ISNUMBER(Charges!J155),Charges!J155&gt;=0),Charges!J155="S",Charges!J155="M",Charges!J155="L",Charges!J155="XL"),0,1)+IF(OR(Charges!K155="",AND(ISNUMBER(Charges!K155),Charges!K155&gt;=0),Charges!K155="S",Charges!K155="M",Charges!K155="L",Charges!K155="XL"),0,1)+IF(OR(Charges!L155="",AND(ISNUMBER(Charges!L155),Charges!L155&gt;=0),Charges!L155="S",Charges!L155="M",Charges!L155="L",Charges!L155="XL"),0,1)+IF(OR(Charges!M155="",AND(ISNUMBER(Charges!M155),Charges!M155&gt;=0),Charges!M155="S",Charges!M155="M",Charges!M155="L",Charges!M155="XL"),0,1)+IF(OR(Charges!N155="",AND(ISNUMBER(Charges!N155),Charges!N155&gt;=0),Charges!N155="S",Charges!N155="M",Charges!N155="L",Charges!N155="XL"),0,1)+IF(OR(Charges!O155="",AND(ISNUMBER(Charges!O155),Charges!O155&gt;=0),Charges!O155="S",Charges!O155="M",Charges!O155="L",Charges!O155="XL"),0,1)+IF(OR(Charges!P155="",AND(ISNUMBER(Charges!P155),Charges!P155&gt;=0),Charges!P155="S",Charges!P155="M",Charges!P155="L",Charges!P155="XL"),0,1)+IF(OR(Charges!Q155="",AND(ISNUMBER(Charges!Q155),Charges!Q155&gt;=0),Charges!Q155="S",Charges!Q155="M",Charges!Q155="L",Charges!Q155="XL"),0,1)+IF(OR(Charges!R155="",AND(ISNUMBER(Charges!R155),Charges!R155&gt;=0),Charges!R155="S",Charges!R155="M",Charges!R155="L",Charges!R155="XL"),0,1)</f>
        <v>0</v>
      </c>
      <c r="U155" t="n">
        <f>IF(AND(1&gt;Paramètres!$B$9,Charges!F155&lt;&gt;"",Charges!F155&lt;&gt;0),1,0)+IF(AND(2&gt;Paramètres!$B$9,Charges!G155&lt;&gt;"",Charges!G155&lt;&gt;0),1,0)+IF(AND(3&gt;Paramètres!$B$9,Charges!H155&lt;&gt;"",Charges!H155&lt;&gt;0),1,0)+IF(AND(4&gt;Paramètres!$B$9,Charges!I155&lt;&gt;"",Charges!I155&lt;&gt;0),1,0)+IF(AND(5&gt;Paramètres!$B$9,Charges!J155&lt;&gt;"",Charges!J155&lt;&gt;0),1,0)+IF(AND(6&gt;Paramètres!$B$9,Charges!K155&lt;&gt;"",Charges!K155&lt;&gt;0),1,0)+IF(AND(7&gt;Paramètres!$B$9,Charges!L155&lt;&gt;"",Charges!L155&lt;&gt;0),1,0)+IF(AND(8&gt;Paramètres!$B$9,Charges!M155&lt;&gt;"",Charges!M155&lt;&gt;0),1,0)+IF(AND(9&gt;Paramètres!$B$9,Charges!N155&lt;&gt;"",Charges!N155&lt;&gt;0),1,0)+IF(AND(10&gt;Paramètres!$B$9,Charges!O155&lt;&gt;"",Charges!O155&lt;&gt;0),1,0)+IF(AND(11&gt;Paramètres!$B$9,Charges!P155&lt;&gt;"",Charges!P155&lt;&gt;0),1,0)+IF(AND(12&gt;Paramètres!$B$9,Charges!Q155&lt;&gt;"",Charges!Q155&lt;&gt;0),1,0)+IF(AND(13&gt;Paramètres!$B$9,Charges!R155&lt;&gt;"",Charges!R155&lt;&gt;0),1,0)</f>
        <v>0</v>
      </c>
      <c r="V155" t="n">
        <f>IF(IFERROR(VLOOKUP(A155,'Projets'!$A$8:$Z$67,5,FALSE),"")="Engager",1,0)</f>
        <v>0</v>
      </c>
      <c r="W155" t="n">
        <f>IF(IFERROR(VLOOKUP(A155,'Projets'!$A$8:$Z$67,6,FALSE),"")="Engager",1,0)</f>
        <v>0</v>
      </c>
      <c r="X155" t="n">
        <f>E155*S155</f>
        <v>0</v>
      </c>
      <c r="Y155" t="n">
        <f>F155*S155</f>
        <v>0</v>
      </c>
      <c r="Z155" t="n">
        <f>G155*S155</f>
        <v>0</v>
      </c>
      <c r="AA155" t="n">
        <f>H155*S155</f>
        <v>0</v>
      </c>
      <c r="AB155" t="n">
        <f>I155*S155</f>
        <v>0</v>
      </c>
      <c r="AC155" t="n">
        <f>J155*S155</f>
        <v>0</v>
      </c>
      <c r="AD155" t="n">
        <f>K155*S155</f>
        <v>0</v>
      </c>
      <c r="AE155" t="n">
        <f>L155*S155</f>
        <v>0</v>
      </c>
      <c r="AF155" t="n">
        <f>M155*S155</f>
        <v>0</v>
      </c>
      <c r="AG155" t="n">
        <f>N155*S155</f>
        <v>0</v>
      </c>
      <c r="AH155" t="n">
        <f>O155*S155</f>
        <v>0</v>
      </c>
      <c r="AI155" t="n">
        <f>P155*S155</f>
        <v>0</v>
      </c>
      <c r="AJ155" t="n">
        <f>Q155*S155</f>
        <v>0</v>
      </c>
      <c r="AK155" t="n">
        <f>E155*V155</f>
        <v>0</v>
      </c>
      <c r="AL155" t="n">
        <f>F155*V155</f>
        <v>0</v>
      </c>
      <c r="AM155" t="n">
        <f>G155*V155</f>
        <v>0</v>
      </c>
      <c r="AN155" t="n">
        <f>H155*V155</f>
        <v>0</v>
      </c>
      <c r="AO155" t="n">
        <f>I155*V155</f>
        <v>0</v>
      </c>
      <c r="AP155" t="n">
        <f>J155*V155</f>
        <v>0</v>
      </c>
      <c r="AQ155" t="n">
        <f>K155*V155</f>
        <v>0</v>
      </c>
      <c r="AR155" t="n">
        <f>L155*V155</f>
        <v>0</v>
      </c>
      <c r="AS155" t="n">
        <f>M155*V155</f>
        <v>0</v>
      </c>
      <c r="AT155" t="n">
        <f>N155*V155</f>
        <v>0</v>
      </c>
      <c r="AU155" t="n">
        <f>O155*V155</f>
        <v>0</v>
      </c>
      <c r="AV155" t="n">
        <f>P155*V155</f>
        <v>0</v>
      </c>
      <c r="AW155" t="n">
        <f>Q155*V155</f>
        <v>0</v>
      </c>
      <c r="AX155" t="n">
        <f>E155*W155</f>
        <v>0</v>
      </c>
      <c r="AY155" t="n">
        <f>F155*W155</f>
        <v>0</v>
      </c>
      <c r="AZ155" t="n">
        <f>G155*W155</f>
        <v>0</v>
      </c>
      <c r="BA155" t="n">
        <f>H155*W155</f>
        <v>0</v>
      </c>
      <c r="BB155" t="n">
        <f>I155*W155</f>
        <v>0</v>
      </c>
      <c r="BC155" t="n">
        <f>J155*W155</f>
        <v>0</v>
      </c>
      <c r="BD155" t="n">
        <f>K155*W155</f>
        <v>0</v>
      </c>
      <c r="BE155" t="n">
        <f>L155*W155</f>
        <v>0</v>
      </c>
      <c r="BF155" t="n">
        <f>M155*W155</f>
        <v>0</v>
      </c>
      <c r="BG155" t="n">
        <f>N155*W155</f>
        <v>0</v>
      </c>
      <c r="BH155" t="n">
        <f>O155*W155</f>
        <v>0</v>
      </c>
      <c r="BI155" t="n">
        <f>P155*W155</f>
        <v>0</v>
      </c>
      <c r="BJ155" t="n">
        <f>Q155*W155</f>
        <v>0</v>
      </c>
    </row>
    <row r="156">
      <c r="A156" t="n">
        <f>Charges!A156</f>
        <v>0</v>
      </c>
      <c r="B156" t="n">
        <f>Charges!C156</f>
        <v>0</v>
      </c>
      <c r="C156" t="str">
        <f>Charges!D156</f>
        <v/>
      </c>
      <c r="E156" t="n">
        <f>IF(1&lt;=Paramètres!$B$9,MAX(0,IFERROR(N(IF(ISNUMBER(Charges!F156),MAX(0,Charges!F156),IFERROR(VLOOKUP(Charges!F156,Paramètres!$A$15:$B$18,2,FALSE),0))),0)),0)</f>
        <v>0</v>
      </c>
      <c r="F156" t="n">
        <f>IF(2&lt;=Paramètres!$B$9,MAX(0,IFERROR(N(IF(ISNUMBER(Charges!G156),MAX(0,Charges!G156),IFERROR(VLOOKUP(Charges!G156,Paramètres!$A$15:$B$18,2,FALSE),0))),0)),0)</f>
        <v>0</v>
      </c>
      <c r="G156" t="n">
        <f>IF(3&lt;=Paramètres!$B$9,MAX(0,IFERROR(N(IF(ISNUMBER(Charges!H156),MAX(0,Charges!H156),IFERROR(VLOOKUP(Charges!H156,Paramètres!$A$15:$B$18,2,FALSE),0))),0)),0)</f>
        <v>0</v>
      </c>
      <c r="H156" t="n">
        <f>IF(4&lt;=Paramètres!$B$9,MAX(0,IFERROR(N(IF(ISNUMBER(Charges!I156),MAX(0,Charges!I156),IFERROR(VLOOKUP(Charges!I156,Paramètres!$A$15:$B$18,2,FALSE),0))),0)),0)</f>
        <v>0</v>
      </c>
      <c r="I156" t="n">
        <f>IF(5&lt;=Paramètres!$B$9,MAX(0,IFERROR(N(IF(ISNUMBER(Charges!J156),MAX(0,Charges!J156),IFERROR(VLOOKUP(Charges!J156,Paramètres!$A$15:$B$18,2,FALSE),0))),0)),0)</f>
        <v>0</v>
      </c>
      <c r="J156" t="n">
        <f>IF(6&lt;=Paramètres!$B$9,MAX(0,IFERROR(N(IF(ISNUMBER(Charges!K156),MAX(0,Charges!K156),IFERROR(VLOOKUP(Charges!K156,Paramètres!$A$15:$B$18,2,FALSE),0))),0)),0)</f>
        <v>0</v>
      </c>
      <c r="K156" t="n">
        <f>IF(7&lt;=Paramètres!$B$9,MAX(0,IFERROR(N(IF(ISNUMBER(Charges!L156),MAX(0,Charges!L156),IFERROR(VLOOKUP(Charges!L156,Paramètres!$A$15:$B$18,2,FALSE),0))),0)),0)</f>
        <v>0</v>
      </c>
      <c r="L156" t="n">
        <f>IF(8&lt;=Paramètres!$B$9,MAX(0,IFERROR(N(IF(ISNUMBER(Charges!M156),MAX(0,Charges!M156),IFERROR(VLOOKUP(Charges!M156,Paramètres!$A$15:$B$18,2,FALSE),0))),0)),0)</f>
        <v>0</v>
      </c>
      <c r="M156" t="n">
        <f>IF(9&lt;=Paramètres!$B$9,MAX(0,IFERROR(N(IF(ISNUMBER(Charges!N156),MAX(0,Charges!N156),IFERROR(VLOOKUP(Charges!N156,Paramètres!$A$15:$B$18,2,FALSE),0))),0)),0)</f>
        <v>0</v>
      </c>
      <c r="N156" t="n">
        <f>IF(10&lt;=Paramètres!$B$9,MAX(0,IFERROR(N(IF(ISNUMBER(Charges!O156),MAX(0,Charges!O156),IFERROR(VLOOKUP(Charges!O156,Paramètres!$A$15:$B$18,2,FALSE),0))),0)),0)</f>
        <v>0</v>
      </c>
      <c r="O156" t="n">
        <f>IF(11&lt;=Paramètres!$B$9,MAX(0,IFERROR(N(IF(ISNUMBER(Charges!P156),MAX(0,Charges!P156),IFERROR(VLOOKUP(Charges!P156,Paramètres!$A$15:$B$18,2,FALSE),0))),0)),0)</f>
        <v>0</v>
      </c>
      <c r="P156" t="n">
        <f>IF(12&lt;=Paramètres!$B$9,MAX(0,IFERROR(N(IF(ISNUMBER(Charges!Q156),MAX(0,Charges!Q156),IFERROR(VLOOKUP(Charges!Q156,Paramètres!$A$15:$B$18,2,FALSE),0))),0)),0)</f>
        <v>0</v>
      </c>
      <c r="Q156" t="n">
        <f>IF(13&lt;=Paramètres!$B$9,MAX(0,IFERROR(N(IF(ISNUMBER(Charges!R156),MAX(0,Charges!R156),IFERROR(VLOOKUP(Charges!R156,Paramètres!$A$15:$B$18,2,FALSE),0))),0)),0)</f>
        <v>0</v>
      </c>
      <c r="R156" t="n">
        <f>SUM(E156:Q156)</f>
        <v>0</v>
      </c>
      <c r="S156" t="n">
        <f>IF(IFERROR(VLOOKUP(A156,'Projets'!$A$8:$Z$67,7,FALSE),"")="Engager",1,0)</f>
        <v>0</v>
      </c>
      <c r="T156" t="n">
        <f>IF(OR(Charges!F156="",AND(ISNUMBER(Charges!F156),Charges!F156&gt;=0),Charges!F156="S",Charges!F156="M",Charges!F156="L",Charges!F156="XL"),0,1)+IF(OR(Charges!G156="",AND(ISNUMBER(Charges!G156),Charges!G156&gt;=0),Charges!G156="S",Charges!G156="M",Charges!G156="L",Charges!G156="XL"),0,1)+IF(OR(Charges!H156="",AND(ISNUMBER(Charges!H156),Charges!H156&gt;=0),Charges!H156="S",Charges!H156="M",Charges!H156="L",Charges!H156="XL"),0,1)+IF(OR(Charges!I156="",AND(ISNUMBER(Charges!I156),Charges!I156&gt;=0),Charges!I156="S",Charges!I156="M",Charges!I156="L",Charges!I156="XL"),0,1)+IF(OR(Charges!J156="",AND(ISNUMBER(Charges!J156),Charges!J156&gt;=0),Charges!J156="S",Charges!J156="M",Charges!J156="L",Charges!J156="XL"),0,1)+IF(OR(Charges!K156="",AND(ISNUMBER(Charges!K156),Charges!K156&gt;=0),Charges!K156="S",Charges!K156="M",Charges!K156="L",Charges!K156="XL"),0,1)+IF(OR(Charges!L156="",AND(ISNUMBER(Charges!L156),Charges!L156&gt;=0),Charges!L156="S",Charges!L156="M",Charges!L156="L",Charges!L156="XL"),0,1)+IF(OR(Charges!M156="",AND(ISNUMBER(Charges!M156),Charges!M156&gt;=0),Charges!M156="S",Charges!M156="M",Charges!M156="L",Charges!M156="XL"),0,1)+IF(OR(Charges!N156="",AND(ISNUMBER(Charges!N156),Charges!N156&gt;=0),Charges!N156="S",Charges!N156="M",Charges!N156="L",Charges!N156="XL"),0,1)+IF(OR(Charges!O156="",AND(ISNUMBER(Charges!O156),Charges!O156&gt;=0),Charges!O156="S",Charges!O156="M",Charges!O156="L",Charges!O156="XL"),0,1)+IF(OR(Charges!P156="",AND(ISNUMBER(Charges!P156),Charges!P156&gt;=0),Charges!P156="S",Charges!P156="M",Charges!P156="L",Charges!P156="XL"),0,1)+IF(OR(Charges!Q156="",AND(ISNUMBER(Charges!Q156),Charges!Q156&gt;=0),Charges!Q156="S",Charges!Q156="M",Charges!Q156="L",Charges!Q156="XL"),0,1)+IF(OR(Charges!R156="",AND(ISNUMBER(Charges!R156),Charges!R156&gt;=0),Charges!R156="S",Charges!R156="M",Charges!R156="L",Charges!R156="XL"),0,1)</f>
        <v>0</v>
      </c>
      <c r="U156" t="n">
        <f>IF(AND(1&gt;Paramètres!$B$9,Charges!F156&lt;&gt;"",Charges!F156&lt;&gt;0),1,0)+IF(AND(2&gt;Paramètres!$B$9,Charges!G156&lt;&gt;"",Charges!G156&lt;&gt;0),1,0)+IF(AND(3&gt;Paramètres!$B$9,Charges!H156&lt;&gt;"",Charges!H156&lt;&gt;0),1,0)+IF(AND(4&gt;Paramètres!$B$9,Charges!I156&lt;&gt;"",Charges!I156&lt;&gt;0),1,0)+IF(AND(5&gt;Paramètres!$B$9,Charges!J156&lt;&gt;"",Charges!J156&lt;&gt;0),1,0)+IF(AND(6&gt;Paramètres!$B$9,Charges!K156&lt;&gt;"",Charges!K156&lt;&gt;0),1,0)+IF(AND(7&gt;Paramètres!$B$9,Charges!L156&lt;&gt;"",Charges!L156&lt;&gt;0),1,0)+IF(AND(8&gt;Paramètres!$B$9,Charges!M156&lt;&gt;"",Charges!M156&lt;&gt;0),1,0)+IF(AND(9&gt;Paramètres!$B$9,Charges!N156&lt;&gt;"",Charges!N156&lt;&gt;0),1,0)+IF(AND(10&gt;Paramètres!$B$9,Charges!O156&lt;&gt;"",Charges!O156&lt;&gt;0),1,0)+IF(AND(11&gt;Paramètres!$B$9,Charges!P156&lt;&gt;"",Charges!P156&lt;&gt;0),1,0)+IF(AND(12&gt;Paramètres!$B$9,Charges!Q156&lt;&gt;"",Charges!Q156&lt;&gt;0),1,0)+IF(AND(13&gt;Paramètres!$B$9,Charges!R156&lt;&gt;"",Charges!R156&lt;&gt;0),1,0)</f>
        <v>0</v>
      </c>
      <c r="V156" t="n">
        <f>IF(IFERROR(VLOOKUP(A156,'Projets'!$A$8:$Z$67,5,FALSE),"")="Engager",1,0)</f>
        <v>0</v>
      </c>
      <c r="W156" t="n">
        <f>IF(IFERROR(VLOOKUP(A156,'Projets'!$A$8:$Z$67,6,FALSE),"")="Engager",1,0)</f>
        <v>0</v>
      </c>
      <c r="X156" t="n">
        <f>E156*S156</f>
        <v>0</v>
      </c>
      <c r="Y156" t="n">
        <f>F156*S156</f>
        <v>0</v>
      </c>
      <c r="Z156" t="n">
        <f>G156*S156</f>
        <v>0</v>
      </c>
      <c r="AA156" t="n">
        <f>H156*S156</f>
        <v>0</v>
      </c>
      <c r="AB156" t="n">
        <f>I156*S156</f>
        <v>0</v>
      </c>
      <c r="AC156" t="n">
        <f>J156*S156</f>
        <v>0</v>
      </c>
      <c r="AD156" t="n">
        <f>K156*S156</f>
        <v>0</v>
      </c>
      <c r="AE156" t="n">
        <f>L156*S156</f>
        <v>0</v>
      </c>
      <c r="AF156" t="n">
        <f>M156*S156</f>
        <v>0</v>
      </c>
      <c r="AG156" t="n">
        <f>N156*S156</f>
        <v>0</v>
      </c>
      <c r="AH156" t="n">
        <f>O156*S156</f>
        <v>0</v>
      </c>
      <c r="AI156" t="n">
        <f>P156*S156</f>
        <v>0</v>
      </c>
      <c r="AJ156" t="n">
        <f>Q156*S156</f>
        <v>0</v>
      </c>
      <c r="AK156" t="n">
        <f>E156*V156</f>
        <v>0</v>
      </c>
      <c r="AL156" t="n">
        <f>F156*V156</f>
        <v>0</v>
      </c>
      <c r="AM156" t="n">
        <f>G156*V156</f>
        <v>0</v>
      </c>
      <c r="AN156" t="n">
        <f>H156*V156</f>
        <v>0</v>
      </c>
      <c r="AO156" t="n">
        <f>I156*V156</f>
        <v>0</v>
      </c>
      <c r="AP156" t="n">
        <f>J156*V156</f>
        <v>0</v>
      </c>
      <c r="AQ156" t="n">
        <f>K156*V156</f>
        <v>0</v>
      </c>
      <c r="AR156" t="n">
        <f>L156*V156</f>
        <v>0</v>
      </c>
      <c r="AS156" t="n">
        <f>M156*V156</f>
        <v>0</v>
      </c>
      <c r="AT156" t="n">
        <f>N156*V156</f>
        <v>0</v>
      </c>
      <c r="AU156" t="n">
        <f>O156*V156</f>
        <v>0</v>
      </c>
      <c r="AV156" t="n">
        <f>P156*V156</f>
        <v>0</v>
      </c>
      <c r="AW156" t="n">
        <f>Q156*V156</f>
        <v>0</v>
      </c>
      <c r="AX156" t="n">
        <f>E156*W156</f>
        <v>0</v>
      </c>
      <c r="AY156" t="n">
        <f>F156*W156</f>
        <v>0</v>
      </c>
      <c r="AZ156" t="n">
        <f>G156*W156</f>
        <v>0</v>
      </c>
      <c r="BA156" t="n">
        <f>H156*W156</f>
        <v>0</v>
      </c>
      <c r="BB156" t="n">
        <f>I156*W156</f>
        <v>0</v>
      </c>
      <c r="BC156" t="n">
        <f>J156*W156</f>
        <v>0</v>
      </c>
      <c r="BD156" t="n">
        <f>K156*W156</f>
        <v>0</v>
      </c>
      <c r="BE156" t="n">
        <f>L156*W156</f>
        <v>0</v>
      </c>
      <c r="BF156" t="n">
        <f>M156*W156</f>
        <v>0</v>
      </c>
      <c r="BG156" t="n">
        <f>N156*W156</f>
        <v>0</v>
      </c>
      <c r="BH156" t="n">
        <f>O156*W156</f>
        <v>0</v>
      </c>
      <c r="BI156" t="n">
        <f>P156*W156</f>
        <v>0</v>
      </c>
      <c r="BJ156" t="n">
        <f>Q156*W156</f>
        <v>0</v>
      </c>
    </row>
    <row r="157">
      <c r="A157" t="n">
        <f>Charges!A157</f>
        <v>0</v>
      </c>
      <c r="B157" t="n">
        <f>Charges!C157</f>
        <v>0</v>
      </c>
      <c r="C157" t="str">
        <f>Charges!D157</f>
        <v/>
      </c>
      <c r="E157" t="n">
        <f>IF(1&lt;=Paramètres!$B$9,MAX(0,IFERROR(N(IF(ISNUMBER(Charges!F157),MAX(0,Charges!F157),IFERROR(VLOOKUP(Charges!F157,Paramètres!$A$15:$B$18,2,FALSE),0))),0)),0)</f>
        <v>0</v>
      </c>
      <c r="F157" t="n">
        <f>IF(2&lt;=Paramètres!$B$9,MAX(0,IFERROR(N(IF(ISNUMBER(Charges!G157),MAX(0,Charges!G157),IFERROR(VLOOKUP(Charges!G157,Paramètres!$A$15:$B$18,2,FALSE),0))),0)),0)</f>
        <v>0</v>
      </c>
      <c r="G157" t="n">
        <f>IF(3&lt;=Paramètres!$B$9,MAX(0,IFERROR(N(IF(ISNUMBER(Charges!H157),MAX(0,Charges!H157),IFERROR(VLOOKUP(Charges!H157,Paramètres!$A$15:$B$18,2,FALSE),0))),0)),0)</f>
        <v>0</v>
      </c>
      <c r="H157" t="n">
        <f>IF(4&lt;=Paramètres!$B$9,MAX(0,IFERROR(N(IF(ISNUMBER(Charges!I157),MAX(0,Charges!I157),IFERROR(VLOOKUP(Charges!I157,Paramètres!$A$15:$B$18,2,FALSE),0))),0)),0)</f>
        <v>0</v>
      </c>
      <c r="I157" t="n">
        <f>IF(5&lt;=Paramètres!$B$9,MAX(0,IFERROR(N(IF(ISNUMBER(Charges!J157),MAX(0,Charges!J157),IFERROR(VLOOKUP(Charges!J157,Paramètres!$A$15:$B$18,2,FALSE),0))),0)),0)</f>
        <v>0</v>
      </c>
      <c r="J157" t="n">
        <f>IF(6&lt;=Paramètres!$B$9,MAX(0,IFERROR(N(IF(ISNUMBER(Charges!K157),MAX(0,Charges!K157),IFERROR(VLOOKUP(Charges!K157,Paramètres!$A$15:$B$18,2,FALSE),0))),0)),0)</f>
        <v>0</v>
      </c>
      <c r="K157" t="n">
        <f>IF(7&lt;=Paramètres!$B$9,MAX(0,IFERROR(N(IF(ISNUMBER(Charges!L157),MAX(0,Charges!L157),IFERROR(VLOOKUP(Charges!L157,Paramètres!$A$15:$B$18,2,FALSE),0))),0)),0)</f>
        <v>0</v>
      </c>
      <c r="L157" t="n">
        <f>IF(8&lt;=Paramètres!$B$9,MAX(0,IFERROR(N(IF(ISNUMBER(Charges!M157),MAX(0,Charges!M157),IFERROR(VLOOKUP(Charges!M157,Paramètres!$A$15:$B$18,2,FALSE),0))),0)),0)</f>
        <v>0</v>
      </c>
      <c r="M157" t="n">
        <f>IF(9&lt;=Paramètres!$B$9,MAX(0,IFERROR(N(IF(ISNUMBER(Charges!N157),MAX(0,Charges!N157),IFERROR(VLOOKUP(Charges!N157,Paramètres!$A$15:$B$18,2,FALSE),0))),0)),0)</f>
        <v>0</v>
      </c>
      <c r="N157" t="n">
        <f>IF(10&lt;=Paramètres!$B$9,MAX(0,IFERROR(N(IF(ISNUMBER(Charges!O157),MAX(0,Charges!O157),IFERROR(VLOOKUP(Charges!O157,Paramètres!$A$15:$B$18,2,FALSE),0))),0)),0)</f>
        <v>0</v>
      </c>
      <c r="O157" t="n">
        <f>IF(11&lt;=Paramètres!$B$9,MAX(0,IFERROR(N(IF(ISNUMBER(Charges!P157),MAX(0,Charges!P157),IFERROR(VLOOKUP(Charges!P157,Paramètres!$A$15:$B$18,2,FALSE),0))),0)),0)</f>
        <v>0</v>
      </c>
      <c r="P157" t="n">
        <f>IF(12&lt;=Paramètres!$B$9,MAX(0,IFERROR(N(IF(ISNUMBER(Charges!Q157),MAX(0,Charges!Q157),IFERROR(VLOOKUP(Charges!Q157,Paramètres!$A$15:$B$18,2,FALSE),0))),0)),0)</f>
        <v>0</v>
      </c>
      <c r="Q157" t="n">
        <f>IF(13&lt;=Paramètres!$B$9,MAX(0,IFERROR(N(IF(ISNUMBER(Charges!R157),MAX(0,Charges!R157),IFERROR(VLOOKUP(Charges!R157,Paramètres!$A$15:$B$18,2,FALSE),0))),0)),0)</f>
        <v>0</v>
      </c>
      <c r="R157" t="n">
        <f>SUM(E157:Q157)</f>
        <v>0</v>
      </c>
      <c r="S157" t="n">
        <f>IF(IFERROR(VLOOKUP(A157,'Projets'!$A$8:$Z$67,7,FALSE),"")="Engager",1,0)</f>
        <v>0</v>
      </c>
      <c r="T157" t="n">
        <f>IF(OR(Charges!F157="",AND(ISNUMBER(Charges!F157),Charges!F157&gt;=0),Charges!F157="S",Charges!F157="M",Charges!F157="L",Charges!F157="XL"),0,1)+IF(OR(Charges!G157="",AND(ISNUMBER(Charges!G157),Charges!G157&gt;=0),Charges!G157="S",Charges!G157="M",Charges!G157="L",Charges!G157="XL"),0,1)+IF(OR(Charges!H157="",AND(ISNUMBER(Charges!H157),Charges!H157&gt;=0),Charges!H157="S",Charges!H157="M",Charges!H157="L",Charges!H157="XL"),0,1)+IF(OR(Charges!I157="",AND(ISNUMBER(Charges!I157),Charges!I157&gt;=0),Charges!I157="S",Charges!I157="M",Charges!I157="L",Charges!I157="XL"),0,1)+IF(OR(Charges!J157="",AND(ISNUMBER(Charges!J157),Charges!J157&gt;=0),Charges!J157="S",Charges!J157="M",Charges!J157="L",Charges!J157="XL"),0,1)+IF(OR(Charges!K157="",AND(ISNUMBER(Charges!K157),Charges!K157&gt;=0),Charges!K157="S",Charges!K157="M",Charges!K157="L",Charges!K157="XL"),0,1)+IF(OR(Charges!L157="",AND(ISNUMBER(Charges!L157),Charges!L157&gt;=0),Charges!L157="S",Charges!L157="M",Charges!L157="L",Charges!L157="XL"),0,1)+IF(OR(Charges!M157="",AND(ISNUMBER(Charges!M157),Charges!M157&gt;=0),Charges!M157="S",Charges!M157="M",Charges!M157="L",Charges!M157="XL"),0,1)+IF(OR(Charges!N157="",AND(ISNUMBER(Charges!N157),Charges!N157&gt;=0),Charges!N157="S",Charges!N157="M",Charges!N157="L",Charges!N157="XL"),0,1)+IF(OR(Charges!O157="",AND(ISNUMBER(Charges!O157),Charges!O157&gt;=0),Charges!O157="S",Charges!O157="M",Charges!O157="L",Charges!O157="XL"),0,1)+IF(OR(Charges!P157="",AND(ISNUMBER(Charges!P157),Charges!P157&gt;=0),Charges!P157="S",Charges!P157="M",Charges!P157="L",Charges!P157="XL"),0,1)+IF(OR(Charges!Q157="",AND(ISNUMBER(Charges!Q157),Charges!Q157&gt;=0),Charges!Q157="S",Charges!Q157="M",Charges!Q157="L",Charges!Q157="XL"),0,1)+IF(OR(Charges!R157="",AND(ISNUMBER(Charges!R157),Charges!R157&gt;=0),Charges!R157="S",Charges!R157="M",Charges!R157="L",Charges!R157="XL"),0,1)</f>
        <v>0</v>
      </c>
      <c r="U157" t="n">
        <f>IF(AND(1&gt;Paramètres!$B$9,Charges!F157&lt;&gt;"",Charges!F157&lt;&gt;0),1,0)+IF(AND(2&gt;Paramètres!$B$9,Charges!G157&lt;&gt;"",Charges!G157&lt;&gt;0),1,0)+IF(AND(3&gt;Paramètres!$B$9,Charges!H157&lt;&gt;"",Charges!H157&lt;&gt;0),1,0)+IF(AND(4&gt;Paramètres!$B$9,Charges!I157&lt;&gt;"",Charges!I157&lt;&gt;0),1,0)+IF(AND(5&gt;Paramètres!$B$9,Charges!J157&lt;&gt;"",Charges!J157&lt;&gt;0),1,0)+IF(AND(6&gt;Paramètres!$B$9,Charges!K157&lt;&gt;"",Charges!K157&lt;&gt;0),1,0)+IF(AND(7&gt;Paramètres!$B$9,Charges!L157&lt;&gt;"",Charges!L157&lt;&gt;0),1,0)+IF(AND(8&gt;Paramètres!$B$9,Charges!M157&lt;&gt;"",Charges!M157&lt;&gt;0),1,0)+IF(AND(9&gt;Paramètres!$B$9,Charges!N157&lt;&gt;"",Charges!N157&lt;&gt;0),1,0)+IF(AND(10&gt;Paramètres!$B$9,Charges!O157&lt;&gt;"",Charges!O157&lt;&gt;0),1,0)+IF(AND(11&gt;Paramètres!$B$9,Charges!P157&lt;&gt;"",Charges!P157&lt;&gt;0),1,0)+IF(AND(12&gt;Paramètres!$B$9,Charges!Q157&lt;&gt;"",Charges!Q157&lt;&gt;0),1,0)+IF(AND(13&gt;Paramètres!$B$9,Charges!R157&lt;&gt;"",Charges!R157&lt;&gt;0),1,0)</f>
        <v>0</v>
      </c>
      <c r="V157" t="n">
        <f>IF(IFERROR(VLOOKUP(A157,'Projets'!$A$8:$Z$67,5,FALSE),"")="Engager",1,0)</f>
        <v>0</v>
      </c>
      <c r="W157" t="n">
        <f>IF(IFERROR(VLOOKUP(A157,'Projets'!$A$8:$Z$67,6,FALSE),"")="Engager",1,0)</f>
        <v>0</v>
      </c>
      <c r="X157" t="n">
        <f>E157*S157</f>
        <v>0</v>
      </c>
      <c r="Y157" t="n">
        <f>F157*S157</f>
        <v>0</v>
      </c>
      <c r="Z157" t="n">
        <f>G157*S157</f>
        <v>0</v>
      </c>
      <c r="AA157" t="n">
        <f>H157*S157</f>
        <v>0</v>
      </c>
      <c r="AB157" t="n">
        <f>I157*S157</f>
        <v>0</v>
      </c>
      <c r="AC157" t="n">
        <f>J157*S157</f>
        <v>0</v>
      </c>
      <c r="AD157" t="n">
        <f>K157*S157</f>
        <v>0</v>
      </c>
      <c r="AE157" t="n">
        <f>L157*S157</f>
        <v>0</v>
      </c>
      <c r="AF157" t="n">
        <f>M157*S157</f>
        <v>0</v>
      </c>
      <c r="AG157" t="n">
        <f>N157*S157</f>
        <v>0</v>
      </c>
      <c r="AH157" t="n">
        <f>O157*S157</f>
        <v>0</v>
      </c>
      <c r="AI157" t="n">
        <f>P157*S157</f>
        <v>0</v>
      </c>
      <c r="AJ157" t="n">
        <f>Q157*S157</f>
        <v>0</v>
      </c>
      <c r="AK157" t="n">
        <f>E157*V157</f>
        <v>0</v>
      </c>
      <c r="AL157" t="n">
        <f>F157*V157</f>
        <v>0</v>
      </c>
      <c r="AM157" t="n">
        <f>G157*V157</f>
        <v>0</v>
      </c>
      <c r="AN157" t="n">
        <f>H157*V157</f>
        <v>0</v>
      </c>
      <c r="AO157" t="n">
        <f>I157*V157</f>
        <v>0</v>
      </c>
      <c r="AP157" t="n">
        <f>J157*V157</f>
        <v>0</v>
      </c>
      <c r="AQ157" t="n">
        <f>K157*V157</f>
        <v>0</v>
      </c>
      <c r="AR157" t="n">
        <f>L157*V157</f>
        <v>0</v>
      </c>
      <c r="AS157" t="n">
        <f>M157*V157</f>
        <v>0</v>
      </c>
      <c r="AT157" t="n">
        <f>N157*V157</f>
        <v>0</v>
      </c>
      <c r="AU157" t="n">
        <f>O157*V157</f>
        <v>0</v>
      </c>
      <c r="AV157" t="n">
        <f>P157*V157</f>
        <v>0</v>
      </c>
      <c r="AW157" t="n">
        <f>Q157*V157</f>
        <v>0</v>
      </c>
      <c r="AX157" t="n">
        <f>E157*W157</f>
        <v>0</v>
      </c>
      <c r="AY157" t="n">
        <f>F157*W157</f>
        <v>0</v>
      </c>
      <c r="AZ157" t="n">
        <f>G157*W157</f>
        <v>0</v>
      </c>
      <c r="BA157" t="n">
        <f>H157*W157</f>
        <v>0</v>
      </c>
      <c r="BB157" t="n">
        <f>I157*W157</f>
        <v>0</v>
      </c>
      <c r="BC157" t="n">
        <f>J157*W157</f>
        <v>0</v>
      </c>
      <c r="BD157" t="n">
        <f>K157*W157</f>
        <v>0</v>
      </c>
      <c r="BE157" t="n">
        <f>L157*W157</f>
        <v>0</v>
      </c>
      <c r="BF157" t="n">
        <f>M157*W157</f>
        <v>0</v>
      </c>
      <c r="BG157" t="n">
        <f>N157*W157</f>
        <v>0</v>
      </c>
      <c r="BH157" t="n">
        <f>O157*W157</f>
        <v>0</v>
      </c>
      <c r="BI157" t="n">
        <f>P157*W157</f>
        <v>0</v>
      </c>
      <c r="BJ157" t="n">
        <f>Q157*W157</f>
        <v>0</v>
      </c>
    </row>
    <row r="158">
      <c r="A158" t="n">
        <f>Charges!A158</f>
        <v>0</v>
      </c>
      <c r="B158" t="n">
        <f>Charges!C158</f>
        <v>0</v>
      </c>
      <c r="C158" t="str">
        <f>Charges!D158</f>
        <v/>
      </c>
      <c r="E158" t="n">
        <f>IF(1&lt;=Paramètres!$B$9,MAX(0,IFERROR(N(IF(ISNUMBER(Charges!F158),MAX(0,Charges!F158),IFERROR(VLOOKUP(Charges!F158,Paramètres!$A$15:$B$18,2,FALSE),0))),0)),0)</f>
        <v>0</v>
      </c>
      <c r="F158" t="n">
        <f>IF(2&lt;=Paramètres!$B$9,MAX(0,IFERROR(N(IF(ISNUMBER(Charges!G158),MAX(0,Charges!G158),IFERROR(VLOOKUP(Charges!G158,Paramètres!$A$15:$B$18,2,FALSE),0))),0)),0)</f>
        <v>0</v>
      </c>
      <c r="G158" t="n">
        <f>IF(3&lt;=Paramètres!$B$9,MAX(0,IFERROR(N(IF(ISNUMBER(Charges!H158),MAX(0,Charges!H158),IFERROR(VLOOKUP(Charges!H158,Paramètres!$A$15:$B$18,2,FALSE),0))),0)),0)</f>
        <v>0</v>
      </c>
      <c r="H158" t="n">
        <f>IF(4&lt;=Paramètres!$B$9,MAX(0,IFERROR(N(IF(ISNUMBER(Charges!I158),MAX(0,Charges!I158),IFERROR(VLOOKUP(Charges!I158,Paramètres!$A$15:$B$18,2,FALSE),0))),0)),0)</f>
        <v>0</v>
      </c>
      <c r="I158" t="n">
        <f>IF(5&lt;=Paramètres!$B$9,MAX(0,IFERROR(N(IF(ISNUMBER(Charges!J158),MAX(0,Charges!J158),IFERROR(VLOOKUP(Charges!J158,Paramètres!$A$15:$B$18,2,FALSE),0))),0)),0)</f>
        <v>0</v>
      </c>
      <c r="J158" t="n">
        <f>IF(6&lt;=Paramètres!$B$9,MAX(0,IFERROR(N(IF(ISNUMBER(Charges!K158),MAX(0,Charges!K158),IFERROR(VLOOKUP(Charges!K158,Paramètres!$A$15:$B$18,2,FALSE),0))),0)),0)</f>
        <v>0</v>
      </c>
      <c r="K158" t="n">
        <f>IF(7&lt;=Paramètres!$B$9,MAX(0,IFERROR(N(IF(ISNUMBER(Charges!L158),MAX(0,Charges!L158),IFERROR(VLOOKUP(Charges!L158,Paramètres!$A$15:$B$18,2,FALSE),0))),0)),0)</f>
        <v>0</v>
      </c>
      <c r="L158" t="n">
        <f>IF(8&lt;=Paramètres!$B$9,MAX(0,IFERROR(N(IF(ISNUMBER(Charges!M158),MAX(0,Charges!M158),IFERROR(VLOOKUP(Charges!M158,Paramètres!$A$15:$B$18,2,FALSE),0))),0)),0)</f>
        <v>0</v>
      </c>
      <c r="M158" t="n">
        <f>IF(9&lt;=Paramètres!$B$9,MAX(0,IFERROR(N(IF(ISNUMBER(Charges!N158),MAX(0,Charges!N158),IFERROR(VLOOKUP(Charges!N158,Paramètres!$A$15:$B$18,2,FALSE),0))),0)),0)</f>
        <v>0</v>
      </c>
      <c r="N158" t="n">
        <f>IF(10&lt;=Paramètres!$B$9,MAX(0,IFERROR(N(IF(ISNUMBER(Charges!O158),MAX(0,Charges!O158),IFERROR(VLOOKUP(Charges!O158,Paramètres!$A$15:$B$18,2,FALSE),0))),0)),0)</f>
        <v>0</v>
      </c>
      <c r="O158" t="n">
        <f>IF(11&lt;=Paramètres!$B$9,MAX(0,IFERROR(N(IF(ISNUMBER(Charges!P158),MAX(0,Charges!P158),IFERROR(VLOOKUP(Charges!P158,Paramètres!$A$15:$B$18,2,FALSE),0))),0)),0)</f>
        <v>0</v>
      </c>
      <c r="P158" t="n">
        <f>IF(12&lt;=Paramètres!$B$9,MAX(0,IFERROR(N(IF(ISNUMBER(Charges!Q158),MAX(0,Charges!Q158),IFERROR(VLOOKUP(Charges!Q158,Paramètres!$A$15:$B$18,2,FALSE),0))),0)),0)</f>
        <v>0</v>
      </c>
      <c r="Q158" t="n">
        <f>IF(13&lt;=Paramètres!$B$9,MAX(0,IFERROR(N(IF(ISNUMBER(Charges!R158),MAX(0,Charges!R158),IFERROR(VLOOKUP(Charges!R158,Paramètres!$A$15:$B$18,2,FALSE),0))),0)),0)</f>
        <v>0</v>
      </c>
      <c r="R158" t="n">
        <f>SUM(E158:Q158)</f>
        <v>0</v>
      </c>
      <c r="S158" t="n">
        <f>IF(IFERROR(VLOOKUP(A158,'Projets'!$A$8:$Z$67,7,FALSE),"")="Engager",1,0)</f>
        <v>0</v>
      </c>
      <c r="T158" t="n">
        <f>IF(OR(Charges!F158="",AND(ISNUMBER(Charges!F158),Charges!F158&gt;=0),Charges!F158="S",Charges!F158="M",Charges!F158="L",Charges!F158="XL"),0,1)+IF(OR(Charges!G158="",AND(ISNUMBER(Charges!G158),Charges!G158&gt;=0),Charges!G158="S",Charges!G158="M",Charges!G158="L",Charges!G158="XL"),0,1)+IF(OR(Charges!H158="",AND(ISNUMBER(Charges!H158),Charges!H158&gt;=0),Charges!H158="S",Charges!H158="M",Charges!H158="L",Charges!H158="XL"),0,1)+IF(OR(Charges!I158="",AND(ISNUMBER(Charges!I158),Charges!I158&gt;=0),Charges!I158="S",Charges!I158="M",Charges!I158="L",Charges!I158="XL"),0,1)+IF(OR(Charges!J158="",AND(ISNUMBER(Charges!J158),Charges!J158&gt;=0),Charges!J158="S",Charges!J158="M",Charges!J158="L",Charges!J158="XL"),0,1)+IF(OR(Charges!K158="",AND(ISNUMBER(Charges!K158),Charges!K158&gt;=0),Charges!K158="S",Charges!K158="M",Charges!K158="L",Charges!K158="XL"),0,1)+IF(OR(Charges!L158="",AND(ISNUMBER(Charges!L158),Charges!L158&gt;=0),Charges!L158="S",Charges!L158="M",Charges!L158="L",Charges!L158="XL"),0,1)+IF(OR(Charges!M158="",AND(ISNUMBER(Charges!M158),Charges!M158&gt;=0),Charges!M158="S",Charges!M158="M",Charges!M158="L",Charges!M158="XL"),0,1)+IF(OR(Charges!N158="",AND(ISNUMBER(Charges!N158),Charges!N158&gt;=0),Charges!N158="S",Charges!N158="M",Charges!N158="L",Charges!N158="XL"),0,1)+IF(OR(Charges!O158="",AND(ISNUMBER(Charges!O158),Charges!O158&gt;=0),Charges!O158="S",Charges!O158="M",Charges!O158="L",Charges!O158="XL"),0,1)+IF(OR(Charges!P158="",AND(ISNUMBER(Charges!P158),Charges!P158&gt;=0),Charges!P158="S",Charges!P158="M",Charges!P158="L",Charges!P158="XL"),0,1)+IF(OR(Charges!Q158="",AND(ISNUMBER(Charges!Q158),Charges!Q158&gt;=0),Charges!Q158="S",Charges!Q158="M",Charges!Q158="L",Charges!Q158="XL"),0,1)+IF(OR(Charges!R158="",AND(ISNUMBER(Charges!R158),Charges!R158&gt;=0),Charges!R158="S",Charges!R158="M",Charges!R158="L",Charges!R158="XL"),0,1)</f>
        <v>0</v>
      </c>
      <c r="U158" t="n">
        <f>IF(AND(1&gt;Paramètres!$B$9,Charges!F158&lt;&gt;"",Charges!F158&lt;&gt;0),1,0)+IF(AND(2&gt;Paramètres!$B$9,Charges!G158&lt;&gt;"",Charges!G158&lt;&gt;0),1,0)+IF(AND(3&gt;Paramètres!$B$9,Charges!H158&lt;&gt;"",Charges!H158&lt;&gt;0),1,0)+IF(AND(4&gt;Paramètres!$B$9,Charges!I158&lt;&gt;"",Charges!I158&lt;&gt;0),1,0)+IF(AND(5&gt;Paramètres!$B$9,Charges!J158&lt;&gt;"",Charges!J158&lt;&gt;0),1,0)+IF(AND(6&gt;Paramètres!$B$9,Charges!K158&lt;&gt;"",Charges!K158&lt;&gt;0),1,0)+IF(AND(7&gt;Paramètres!$B$9,Charges!L158&lt;&gt;"",Charges!L158&lt;&gt;0),1,0)+IF(AND(8&gt;Paramètres!$B$9,Charges!M158&lt;&gt;"",Charges!M158&lt;&gt;0),1,0)+IF(AND(9&gt;Paramètres!$B$9,Charges!N158&lt;&gt;"",Charges!N158&lt;&gt;0),1,0)+IF(AND(10&gt;Paramètres!$B$9,Charges!O158&lt;&gt;"",Charges!O158&lt;&gt;0),1,0)+IF(AND(11&gt;Paramètres!$B$9,Charges!P158&lt;&gt;"",Charges!P158&lt;&gt;0),1,0)+IF(AND(12&gt;Paramètres!$B$9,Charges!Q158&lt;&gt;"",Charges!Q158&lt;&gt;0),1,0)+IF(AND(13&gt;Paramètres!$B$9,Charges!R158&lt;&gt;"",Charges!R158&lt;&gt;0),1,0)</f>
        <v>0</v>
      </c>
      <c r="V158" t="n">
        <f>IF(IFERROR(VLOOKUP(A158,'Projets'!$A$8:$Z$67,5,FALSE),"")="Engager",1,0)</f>
        <v>0</v>
      </c>
      <c r="W158" t="n">
        <f>IF(IFERROR(VLOOKUP(A158,'Projets'!$A$8:$Z$67,6,FALSE),"")="Engager",1,0)</f>
        <v>0</v>
      </c>
      <c r="X158" t="n">
        <f>E158*S158</f>
        <v>0</v>
      </c>
      <c r="Y158" t="n">
        <f>F158*S158</f>
        <v>0</v>
      </c>
      <c r="Z158" t="n">
        <f>G158*S158</f>
        <v>0</v>
      </c>
      <c r="AA158" t="n">
        <f>H158*S158</f>
        <v>0</v>
      </c>
      <c r="AB158" t="n">
        <f>I158*S158</f>
        <v>0</v>
      </c>
      <c r="AC158" t="n">
        <f>J158*S158</f>
        <v>0</v>
      </c>
      <c r="AD158" t="n">
        <f>K158*S158</f>
        <v>0</v>
      </c>
      <c r="AE158" t="n">
        <f>L158*S158</f>
        <v>0</v>
      </c>
      <c r="AF158" t="n">
        <f>M158*S158</f>
        <v>0</v>
      </c>
      <c r="AG158" t="n">
        <f>N158*S158</f>
        <v>0</v>
      </c>
      <c r="AH158" t="n">
        <f>O158*S158</f>
        <v>0</v>
      </c>
      <c r="AI158" t="n">
        <f>P158*S158</f>
        <v>0</v>
      </c>
      <c r="AJ158" t="n">
        <f>Q158*S158</f>
        <v>0</v>
      </c>
      <c r="AK158" t="n">
        <f>E158*V158</f>
        <v>0</v>
      </c>
      <c r="AL158" t="n">
        <f>F158*V158</f>
        <v>0</v>
      </c>
      <c r="AM158" t="n">
        <f>G158*V158</f>
        <v>0</v>
      </c>
      <c r="AN158" t="n">
        <f>H158*V158</f>
        <v>0</v>
      </c>
      <c r="AO158" t="n">
        <f>I158*V158</f>
        <v>0</v>
      </c>
      <c r="AP158" t="n">
        <f>J158*V158</f>
        <v>0</v>
      </c>
      <c r="AQ158" t="n">
        <f>K158*V158</f>
        <v>0</v>
      </c>
      <c r="AR158" t="n">
        <f>L158*V158</f>
        <v>0</v>
      </c>
      <c r="AS158" t="n">
        <f>M158*V158</f>
        <v>0</v>
      </c>
      <c r="AT158" t="n">
        <f>N158*V158</f>
        <v>0</v>
      </c>
      <c r="AU158" t="n">
        <f>O158*V158</f>
        <v>0</v>
      </c>
      <c r="AV158" t="n">
        <f>P158*V158</f>
        <v>0</v>
      </c>
      <c r="AW158" t="n">
        <f>Q158*V158</f>
        <v>0</v>
      </c>
      <c r="AX158" t="n">
        <f>E158*W158</f>
        <v>0</v>
      </c>
      <c r="AY158" t="n">
        <f>F158*W158</f>
        <v>0</v>
      </c>
      <c r="AZ158" t="n">
        <f>G158*W158</f>
        <v>0</v>
      </c>
      <c r="BA158" t="n">
        <f>H158*W158</f>
        <v>0</v>
      </c>
      <c r="BB158" t="n">
        <f>I158*W158</f>
        <v>0</v>
      </c>
      <c r="BC158" t="n">
        <f>J158*W158</f>
        <v>0</v>
      </c>
      <c r="BD158" t="n">
        <f>K158*W158</f>
        <v>0</v>
      </c>
      <c r="BE158" t="n">
        <f>L158*W158</f>
        <v>0</v>
      </c>
      <c r="BF158" t="n">
        <f>M158*W158</f>
        <v>0</v>
      </c>
      <c r="BG158" t="n">
        <f>N158*W158</f>
        <v>0</v>
      </c>
      <c r="BH158" t="n">
        <f>O158*W158</f>
        <v>0</v>
      </c>
      <c r="BI158" t="n">
        <f>P158*W158</f>
        <v>0</v>
      </c>
      <c r="BJ158" t="n">
        <f>Q158*W158</f>
        <v>0</v>
      </c>
    </row>
    <row r="159">
      <c r="A159" t="n">
        <f>Charges!A159</f>
        <v>0</v>
      </c>
      <c r="B159" t="n">
        <f>Charges!C159</f>
        <v>0</v>
      </c>
      <c r="C159" t="str">
        <f>Charges!D159</f>
        <v/>
      </c>
      <c r="E159" t="n">
        <f>IF(1&lt;=Paramètres!$B$9,MAX(0,IFERROR(N(IF(ISNUMBER(Charges!F159),MAX(0,Charges!F159),IFERROR(VLOOKUP(Charges!F159,Paramètres!$A$15:$B$18,2,FALSE),0))),0)),0)</f>
        <v>0</v>
      </c>
      <c r="F159" t="n">
        <f>IF(2&lt;=Paramètres!$B$9,MAX(0,IFERROR(N(IF(ISNUMBER(Charges!G159),MAX(0,Charges!G159),IFERROR(VLOOKUP(Charges!G159,Paramètres!$A$15:$B$18,2,FALSE),0))),0)),0)</f>
        <v>0</v>
      </c>
      <c r="G159" t="n">
        <f>IF(3&lt;=Paramètres!$B$9,MAX(0,IFERROR(N(IF(ISNUMBER(Charges!H159),MAX(0,Charges!H159),IFERROR(VLOOKUP(Charges!H159,Paramètres!$A$15:$B$18,2,FALSE),0))),0)),0)</f>
        <v>0</v>
      </c>
      <c r="H159" t="n">
        <f>IF(4&lt;=Paramètres!$B$9,MAX(0,IFERROR(N(IF(ISNUMBER(Charges!I159),MAX(0,Charges!I159),IFERROR(VLOOKUP(Charges!I159,Paramètres!$A$15:$B$18,2,FALSE),0))),0)),0)</f>
        <v>0</v>
      </c>
      <c r="I159" t="n">
        <f>IF(5&lt;=Paramètres!$B$9,MAX(0,IFERROR(N(IF(ISNUMBER(Charges!J159),MAX(0,Charges!J159),IFERROR(VLOOKUP(Charges!J159,Paramètres!$A$15:$B$18,2,FALSE),0))),0)),0)</f>
        <v>0</v>
      </c>
      <c r="J159" t="n">
        <f>IF(6&lt;=Paramètres!$B$9,MAX(0,IFERROR(N(IF(ISNUMBER(Charges!K159),MAX(0,Charges!K159),IFERROR(VLOOKUP(Charges!K159,Paramètres!$A$15:$B$18,2,FALSE),0))),0)),0)</f>
        <v>0</v>
      </c>
      <c r="K159" t="n">
        <f>IF(7&lt;=Paramètres!$B$9,MAX(0,IFERROR(N(IF(ISNUMBER(Charges!L159),MAX(0,Charges!L159),IFERROR(VLOOKUP(Charges!L159,Paramètres!$A$15:$B$18,2,FALSE),0))),0)),0)</f>
        <v>0</v>
      </c>
      <c r="L159" t="n">
        <f>IF(8&lt;=Paramètres!$B$9,MAX(0,IFERROR(N(IF(ISNUMBER(Charges!M159),MAX(0,Charges!M159),IFERROR(VLOOKUP(Charges!M159,Paramètres!$A$15:$B$18,2,FALSE),0))),0)),0)</f>
        <v>0</v>
      </c>
      <c r="M159" t="n">
        <f>IF(9&lt;=Paramètres!$B$9,MAX(0,IFERROR(N(IF(ISNUMBER(Charges!N159),MAX(0,Charges!N159),IFERROR(VLOOKUP(Charges!N159,Paramètres!$A$15:$B$18,2,FALSE),0))),0)),0)</f>
        <v>0</v>
      </c>
      <c r="N159" t="n">
        <f>IF(10&lt;=Paramètres!$B$9,MAX(0,IFERROR(N(IF(ISNUMBER(Charges!O159),MAX(0,Charges!O159),IFERROR(VLOOKUP(Charges!O159,Paramètres!$A$15:$B$18,2,FALSE),0))),0)),0)</f>
        <v>0</v>
      </c>
      <c r="O159" t="n">
        <f>IF(11&lt;=Paramètres!$B$9,MAX(0,IFERROR(N(IF(ISNUMBER(Charges!P159),MAX(0,Charges!P159),IFERROR(VLOOKUP(Charges!P159,Paramètres!$A$15:$B$18,2,FALSE),0))),0)),0)</f>
        <v>0</v>
      </c>
      <c r="P159" t="n">
        <f>IF(12&lt;=Paramètres!$B$9,MAX(0,IFERROR(N(IF(ISNUMBER(Charges!Q159),MAX(0,Charges!Q159),IFERROR(VLOOKUP(Charges!Q159,Paramètres!$A$15:$B$18,2,FALSE),0))),0)),0)</f>
        <v>0</v>
      </c>
      <c r="Q159" t="n">
        <f>IF(13&lt;=Paramètres!$B$9,MAX(0,IFERROR(N(IF(ISNUMBER(Charges!R159),MAX(0,Charges!R159),IFERROR(VLOOKUP(Charges!R159,Paramètres!$A$15:$B$18,2,FALSE),0))),0)),0)</f>
        <v>0</v>
      </c>
      <c r="R159" t="n">
        <f>SUM(E159:Q159)</f>
        <v>0</v>
      </c>
      <c r="S159" t="n">
        <f>IF(IFERROR(VLOOKUP(A159,'Projets'!$A$8:$Z$67,7,FALSE),"")="Engager",1,0)</f>
        <v>0</v>
      </c>
      <c r="T159" t="n">
        <f>IF(OR(Charges!F159="",AND(ISNUMBER(Charges!F159),Charges!F159&gt;=0),Charges!F159="S",Charges!F159="M",Charges!F159="L",Charges!F159="XL"),0,1)+IF(OR(Charges!G159="",AND(ISNUMBER(Charges!G159),Charges!G159&gt;=0),Charges!G159="S",Charges!G159="M",Charges!G159="L",Charges!G159="XL"),0,1)+IF(OR(Charges!H159="",AND(ISNUMBER(Charges!H159),Charges!H159&gt;=0),Charges!H159="S",Charges!H159="M",Charges!H159="L",Charges!H159="XL"),0,1)+IF(OR(Charges!I159="",AND(ISNUMBER(Charges!I159),Charges!I159&gt;=0),Charges!I159="S",Charges!I159="M",Charges!I159="L",Charges!I159="XL"),0,1)+IF(OR(Charges!J159="",AND(ISNUMBER(Charges!J159),Charges!J159&gt;=0),Charges!J159="S",Charges!J159="M",Charges!J159="L",Charges!J159="XL"),0,1)+IF(OR(Charges!K159="",AND(ISNUMBER(Charges!K159),Charges!K159&gt;=0),Charges!K159="S",Charges!K159="M",Charges!K159="L",Charges!K159="XL"),0,1)+IF(OR(Charges!L159="",AND(ISNUMBER(Charges!L159),Charges!L159&gt;=0),Charges!L159="S",Charges!L159="M",Charges!L159="L",Charges!L159="XL"),0,1)+IF(OR(Charges!M159="",AND(ISNUMBER(Charges!M159),Charges!M159&gt;=0),Charges!M159="S",Charges!M159="M",Charges!M159="L",Charges!M159="XL"),0,1)+IF(OR(Charges!N159="",AND(ISNUMBER(Charges!N159),Charges!N159&gt;=0),Charges!N159="S",Charges!N159="M",Charges!N159="L",Charges!N159="XL"),0,1)+IF(OR(Charges!O159="",AND(ISNUMBER(Charges!O159),Charges!O159&gt;=0),Charges!O159="S",Charges!O159="M",Charges!O159="L",Charges!O159="XL"),0,1)+IF(OR(Charges!P159="",AND(ISNUMBER(Charges!P159),Charges!P159&gt;=0),Charges!P159="S",Charges!P159="M",Charges!P159="L",Charges!P159="XL"),0,1)+IF(OR(Charges!Q159="",AND(ISNUMBER(Charges!Q159),Charges!Q159&gt;=0),Charges!Q159="S",Charges!Q159="M",Charges!Q159="L",Charges!Q159="XL"),0,1)+IF(OR(Charges!R159="",AND(ISNUMBER(Charges!R159),Charges!R159&gt;=0),Charges!R159="S",Charges!R159="M",Charges!R159="L",Charges!R159="XL"),0,1)</f>
        <v>0</v>
      </c>
      <c r="U159" t="n">
        <f>IF(AND(1&gt;Paramètres!$B$9,Charges!F159&lt;&gt;"",Charges!F159&lt;&gt;0),1,0)+IF(AND(2&gt;Paramètres!$B$9,Charges!G159&lt;&gt;"",Charges!G159&lt;&gt;0),1,0)+IF(AND(3&gt;Paramètres!$B$9,Charges!H159&lt;&gt;"",Charges!H159&lt;&gt;0),1,0)+IF(AND(4&gt;Paramètres!$B$9,Charges!I159&lt;&gt;"",Charges!I159&lt;&gt;0),1,0)+IF(AND(5&gt;Paramètres!$B$9,Charges!J159&lt;&gt;"",Charges!J159&lt;&gt;0),1,0)+IF(AND(6&gt;Paramètres!$B$9,Charges!K159&lt;&gt;"",Charges!K159&lt;&gt;0),1,0)+IF(AND(7&gt;Paramètres!$B$9,Charges!L159&lt;&gt;"",Charges!L159&lt;&gt;0),1,0)+IF(AND(8&gt;Paramètres!$B$9,Charges!M159&lt;&gt;"",Charges!M159&lt;&gt;0),1,0)+IF(AND(9&gt;Paramètres!$B$9,Charges!N159&lt;&gt;"",Charges!N159&lt;&gt;0),1,0)+IF(AND(10&gt;Paramètres!$B$9,Charges!O159&lt;&gt;"",Charges!O159&lt;&gt;0),1,0)+IF(AND(11&gt;Paramètres!$B$9,Charges!P159&lt;&gt;"",Charges!P159&lt;&gt;0),1,0)+IF(AND(12&gt;Paramètres!$B$9,Charges!Q159&lt;&gt;"",Charges!Q159&lt;&gt;0),1,0)+IF(AND(13&gt;Paramètres!$B$9,Charges!R159&lt;&gt;"",Charges!R159&lt;&gt;0),1,0)</f>
        <v>0</v>
      </c>
      <c r="V159" t="n">
        <f>IF(IFERROR(VLOOKUP(A159,'Projets'!$A$8:$Z$67,5,FALSE),"")="Engager",1,0)</f>
        <v>0</v>
      </c>
      <c r="W159" t="n">
        <f>IF(IFERROR(VLOOKUP(A159,'Projets'!$A$8:$Z$67,6,FALSE),"")="Engager",1,0)</f>
        <v>0</v>
      </c>
      <c r="X159" t="n">
        <f>E159*S159</f>
        <v>0</v>
      </c>
      <c r="Y159" t="n">
        <f>F159*S159</f>
        <v>0</v>
      </c>
      <c r="Z159" t="n">
        <f>G159*S159</f>
        <v>0</v>
      </c>
      <c r="AA159" t="n">
        <f>H159*S159</f>
        <v>0</v>
      </c>
      <c r="AB159" t="n">
        <f>I159*S159</f>
        <v>0</v>
      </c>
      <c r="AC159" t="n">
        <f>J159*S159</f>
        <v>0</v>
      </c>
      <c r="AD159" t="n">
        <f>K159*S159</f>
        <v>0</v>
      </c>
      <c r="AE159" t="n">
        <f>L159*S159</f>
        <v>0</v>
      </c>
      <c r="AF159" t="n">
        <f>M159*S159</f>
        <v>0</v>
      </c>
      <c r="AG159" t="n">
        <f>N159*S159</f>
        <v>0</v>
      </c>
      <c r="AH159" t="n">
        <f>O159*S159</f>
        <v>0</v>
      </c>
      <c r="AI159" t="n">
        <f>P159*S159</f>
        <v>0</v>
      </c>
      <c r="AJ159" t="n">
        <f>Q159*S159</f>
        <v>0</v>
      </c>
      <c r="AK159" t="n">
        <f>E159*V159</f>
        <v>0</v>
      </c>
      <c r="AL159" t="n">
        <f>F159*V159</f>
        <v>0</v>
      </c>
      <c r="AM159" t="n">
        <f>G159*V159</f>
        <v>0</v>
      </c>
      <c r="AN159" t="n">
        <f>H159*V159</f>
        <v>0</v>
      </c>
      <c r="AO159" t="n">
        <f>I159*V159</f>
        <v>0</v>
      </c>
      <c r="AP159" t="n">
        <f>J159*V159</f>
        <v>0</v>
      </c>
      <c r="AQ159" t="n">
        <f>K159*V159</f>
        <v>0</v>
      </c>
      <c r="AR159" t="n">
        <f>L159*V159</f>
        <v>0</v>
      </c>
      <c r="AS159" t="n">
        <f>M159*V159</f>
        <v>0</v>
      </c>
      <c r="AT159" t="n">
        <f>N159*V159</f>
        <v>0</v>
      </c>
      <c r="AU159" t="n">
        <f>O159*V159</f>
        <v>0</v>
      </c>
      <c r="AV159" t="n">
        <f>P159*V159</f>
        <v>0</v>
      </c>
      <c r="AW159" t="n">
        <f>Q159*V159</f>
        <v>0</v>
      </c>
      <c r="AX159" t="n">
        <f>E159*W159</f>
        <v>0</v>
      </c>
      <c r="AY159" t="n">
        <f>F159*W159</f>
        <v>0</v>
      </c>
      <c r="AZ159" t="n">
        <f>G159*W159</f>
        <v>0</v>
      </c>
      <c r="BA159" t="n">
        <f>H159*W159</f>
        <v>0</v>
      </c>
      <c r="BB159" t="n">
        <f>I159*W159</f>
        <v>0</v>
      </c>
      <c r="BC159" t="n">
        <f>J159*W159</f>
        <v>0</v>
      </c>
      <c r="BD159" t="n">
        <f>K159*W159</f>
        <v>0</v>
      </c>
      <c r="BE159" t="n">
        <f>L159*W159</f>
        <v>0</v>
      </c>
      <c r="BF159" t="n">
        <f>M159*W159</f>
        <v>0</v>
      </c>
      <c r="BG159" t="n">
        <f>N159*W159</f>
        <v>0</v>
      </c>
      <c r="BH159" t="n">
        <f>O159*W159</f>
        <v>0</v>
      </c>
      <c r="BI159" t="n">
        <f>P159*W159</f>
        <v>0</v>
      </c>
      <c r="BJ159" t="n">
        <f>Q159*W159</f>
        <v>0</v>
      </c>
    </row>
    <row r="160">
      <c r="A160" t="n">
        <f>Charges!A160</f>
        <v>0</v>
      </c>
      <c r="B160" t="n">
        <f>Charges!C160</f>
        <v>0</v>
      </c>
      <c r="C160" t="str">
        <f>Charges!D160</f>
        <v/>
      </c>
      <c r="E160" t="n">
        <f>IF(1&lt;=Paramètres!$B$9,MAX(0,IFERROR(N(IF(ISNUMBER(Charges!F160),MAX(0,Charges!F160),IFERROR(VLOOKUP(Charges!F160,Paramètres!$A$15:$B$18,2,FALSE),0))),0)),0)</f>
        <v>0</v>
      </c>
      <c r="F160" t="n">
        <f>IF(2&lt;=Paramètres!$B$9,MAX(0,IFERROR(N(IF(ISNUMBER(Charges!G160),MAX(0,Charges!G160),IFERROR(VLOOKUP(Charges!G160,Paramètres!$A$15:$B$18,2,FALSE),0))),0)),0)</f>
        <v>0</v>
      </c>
      <c r="G160" t="n">
        <f>IF(3&lt;=Paramètres!$B$9,MAX(0,IFERROR(N(IF(ISNUMBER(Charges!H160),MAX(0,Charges!H160),IFERROR(VLOOKUP(Charges!H160,Paramètres!$A$15:$B$18,2,FALSE),0))),0)),0)</f>
        <v>0</v>
      </c>
      <c r="H160" t="n">
        <f>IF(4&lt;=Paramètres!$B$9,MAX(0,IFERROR(N(IF(ISNUMBER(Charges!I160),MAX(0,Charges!I160),IFERROR(VLOOKUP(Charges!I160,Paramètres!$A$15:$B$18,2,FALSE),0))),0)),0)</f>
        <v>0</v>
      </c>
      <c r="I160" t="n">
        <f>IF(5&lt;=Paramètres!$B$9,MAX(0,IFERROR(N(IF(ISNUMBER(Charges!J160),MAX(0,Charges!J160),IFERROR(VLOOKUP(Charges!J160,Paramètres!$A$15:$B$18,2,FALSE),0))),0)),0)</f>
        <v>0</v>
      </c>
      <c r="J160" t="n">
        <f>IF(6&lt;=Paramètres!$B$9,MAX(0,IFERROR(N(IF(ISNUMBER(Charges!K160),MAX(0,Charges!K160),IFERROR(VLOOKUP(Charges!K160,Paramètres!$A$15:$B$18,2,FALSE),0))),0)),0)</f>
        <v>0</v>
      </c>
      <c r="K160" t="n">
        <f>IF(7&lt;=Paramètres!$B$9,MAX(0,IFERROR(N(IF(ISNUMBER(Charges!L160),MAX(0,Charges!L160),IFERROR(VLOOKUP(Charges!L160,Paramètres!$A$15:$B$18,2,FALSE),0))),0)),0)</f>
        <v>0</v>
      </c>
      <c r="L160" t="n">
        <f>IF(8&lt;=Paramètres!$B$9,MAX(0,IFERROR(N(IF(ISNUMBER(Charges!M160),MAX(0,Charges!M160),IFERROR(VLOOKUP(Charges!M160,Paramètres!$A$15:$B$18,2,FALSE),0))),0)),0)</f>
        <v>0</v>
      </c>
      <c r="M160" t="n">
        <f>IF(9&lt;=Paramètres!$B$9,MAX(0,IFERROR(N(IF(ISNUMBER(Charges!N160),MAX(0,Charges!N160),IFERROR(VLOOKUP(Charges!N160,Paramètres!$A$15:$B$18,2,FALSE),0))),0)),0)</f>
        <v>0</v>
      </c>
      <c r="N160" t="n">
        <f>IF(10&lt;=Paramètres!$B$9,MAX(0,IFERROR(N(IF(ISNUMBER(Charges!O160),MAX(0,Charges!O160),IFERROR(VLOOKUP(Charges!O160,Paramètres!$A$15:$B$18,2,FALSE),0))),0)),0)</f>
        <v>0</v>
      </c>
      <c r="O160" t="n">
        <f>IF(11&lt;=Paramètres!$B$9,MAX(0,IFERROR(N(IF(ISNUMBER(Charges!P160),MAX(0,Charges!P160),IFERROR(VLOOKUP(Charges!P160,Paramètres!$A$15:$B$18,2,FALSE),0))),0)),0)</f>
        <v>0</v>
      </c>
      <c r="P160" t="n">
        <f>IF(12&lt;=Paramètres!$B$9,MAX(0,IFERROR(N(IF(ISNUMBER(Charges!Q160),MAX(0,Charges!Q160),IFERROR(VLOOKUP(Charges!Q160,Paramètres!$A$15:$B$18,2,FALSE),0))),0)),0)</f>
        <v>0</v>
      </c>
      <c r="Q160" t="n">
        <f>IF(13&lt;=Paramètres!$B$9,MAX(0,IFERROR(N(IF(ISNUMBER(Charges!R160),MAX(0,Charges!R160),IFERROR(VLOOKUP(Charges!R160,Paramètres!$A$15:$B$18,2,FALSE),0))),0)),0)</f>
        <v>0</v>
      </c>
      <c r="R160" t="n">
        <f>SUM(E160:Q160)</f>
        <v>0</v>
      </c>
      <c r="S160" t="n">
        <f>IF(IFERROR(VLOOKUP(A160,'Projets'!$A$8:$Z$67,7,FALSE),"")="Engager",1,0)</f>
        <v>0</v>
      </c>
      <c r="T160" t="n">
        <f>IF(OR(Charges!F160="",AND(ISNUMBER(Charges!F160),Charges!F160&gt;=0),Charges!F160="S",Charges!F160="M",Charges!F160="L",Charges!F160="XL"),0,1)+IF(OR(Charges!G160="",AND(ISNUMBER(Charges!G160),Charges!G160&gt;=0),Charges!G160="S",Charges!G160="M",Charges!G160="L",Charges!G160="XL"),0,1)+IF(OR(Charges!H160="",AND(ISNUMBER(Charges!H160),Charges!H160&gt;=0),Charges!H160="S",Charges!H160="M",Charges!H160="L",Charges!H160="XL"),0,1)+IF(OR(Charges!I160="",AND(ISNUMBER(Charges!I160),Charges!I160&gt;=0),Charges!I160="S",Charges!I160="M",Charges!I160="L",Charges!I160="XL"),0,1)+IF(OR(Charges!J160="",AND(ISNUMBER(Charges!J160),Charges!J160&gt;=0),Charges!J160="S",Charges!J160="M",Charges!J160="L",Charges!J160="XL"),0,1)+IF(OR(Charges!K160="",AND(ISNUMBER(Charges!K160),Charges!K160&gt;=0),Charges!K160="S",Charges!K160="M",Charges!K160="L",Charges!K160="XL"),0,1)+IF(OR(Charges!L160="",AND(ISNUMBER(Charges!L160),Charges!L160&gt;=0),Charges!L160="S",Charges!L160="M",Charges!L160="L",Charges!L160="XL"),0,1)+IF(OR(Charges!M160="",AND(ISNUMBER(Charges!M160),Charges!M160&gt;=0),Charges!M160="S",Charges!M160="M",Charges!M160="L",Charges!M160="XL"),0,1)+IF(OR(Charges!N160="",AND(ISNUMBER(Charges!N160),Charges!N160&gt;=0),Charges!N160="S",Charges!N160="M",Charges!N160="L",Charges!N160="XL"),0,1)+IF(OR(Charges!O160="",AND(ISNUMBER(Charges!O160),Charges!O160&gt;=0),Charges!O160="S",Charges!O160="M",Charges!O160="L",Charges!O160="XL"),0,1)+IF(OR(Charges!P160="",AND(ISNUMBER(Charges!P160),Charges!P160&gt;=0),Charges!P160="S",Charges!P160="M",Charges!P160="L",Charges!P160="XL"),0,1)+IF(OR(Charges!Q160="",AND(ISNUMBER(Charges!Q160),Charges!Q160&gt;=0),Charges!Q160="S",Charges!Q160="M",Charges!Q160="L",Charges!Q160="XL"),0,1)+IF(OR(Charges!R160="",AND(ISNUMBER(Charges!R160),Charges!R160&gt;=0),Charges!R160="S",Charges!R160="M",Charges!R160="L",Charges!R160="XL"),0,1)</f>
        <v>0</v>
      </c>
      <c r="U160" t="n">
        <f>IF(AND(1&gt;Paramètres!$B$9,Charges!F160&lt;&gt;"",Charges!F160&lt;&gt;0),1,0)+IF(AND(2&gt;Paramètres!$B$9,Charges!G160&lt;&gt;"",Charges!G160&lt;&gt;0),1,0)+IF(AND(3&gt;Paramètres!$B$9,Charges!H160&lt;&gt;"",Charges!H160&lt;&gt;0),1,0)+IF(AND(4&gt;Paramètres!$B$9,Charges!I160&lt;&gt;"",Charges!I160&lt;&gt;0),1,0)+IF(AND(5&gt;Paramètres!$B$9,Charges!J160&lt;&gt;"",Charges!J160&lt;&gt;0),1,0)+IF(AND(6&gt;Paramètres!$B$9,Charges!K160&lt;&gt;"",Charges!K160&lt;&gt;0),1,0)+IF(AND(7&gt;Paramètres!$B$9,Charges!L160&lt;&gt;"",Charges!L160&lt;&gt;0),1,0)+IF(AND(8&gt;Paramètres!$B$9,Charges!M160&lt;&gt;"",Charges!M160&lt;&gt;0),1,0)+IF(AND(9&gt;Paramètres!$B$9,Charges!N160&lt;&gt;"",Charges!N160&lt;&gt;0),1,0)+IF(AND(10&gt;Paramètres!$B$9,Charges!O160&lt;&gt;"",Charges!O160&lt;&gt;0),1,0)+IF(AND(11&gt;Paramètres!$B$9,Charges!P160&lt;&gt;"",Charges!P160&lt;&gt;0),1,0)+IF(AND(12&gt;Paramètres!$B$9,Charges!Q160&lt;&gt;"",Charges!Q160&lt;&gt;0),1,0)+IF(AND(13&gt;Paramètres!$B$9,Charges!R160&lt;&gt;"",Charges!R160&lt;&gt;0),1,0)</f>
        <v>0</v>
      </c>
      <c r="V160" t="n">
        <f>IF(IFERROR(VLOOKUP(A160,'Projets'!$A$8:$Z$67,5,FALSE),"")="Engager",1,0)</f>
        <v>0</v>
      </c>
      <c r="W160" t="n">
        <f>IF(IFERROR(VLOOKUP(A160,'Projets'!$A$8:$Z$67,6,FALSE),"")="Engager",1,0)</f>
        <v>0</v>
      </c>
      <c r="X160" t="n">
        <f>E160*S160</f>
        <v>0</v>
      </c>
      <c r="Y160" t="n">
        <f>F160*S160</f>
        <v>0</v>
      </c>
      <c r="Z160" t="n">
        <f>G160*S160</f>
        <v>0</v>
      </c>
      <c r="AA160" t="n">
        <f>H160*S160</f>
        <v>0</v>
      </c>
      <c r="AB160" t="n">
        <f>I160*S160</f>
        <v>0</v>
      </c>
      <c r="AC160" t="n">
        <f>J160*S160</f>
        <v>0</v>
      </c>
      <c r="AD160" t="n">
        <f>K160*S160</f>
        <v>0</v>
      </c>
      <c r="AE160" t="n">
        <f>L160*S160</f>
        <v>0</v>
      </c>
      <c r="AF160" t="n">
        <f>M160*S160</f>
        <v>0</v>
      </c>
      <c r="AG160" t="n">
        <f>N160*S160</f>
        <v>0</v>
      </c>
      <c r="AH160" t="n">
        <f>O160*S160</f>
        <v>0</v>
      </c>
      <c r="AI160" t="n">
        <f>P160*S160</f>
        <v>0</v>
      </c>
      <c r="AJ160" t="n">
        <f>Q160*S160</f>
        <v>0</v>
      </c>
      <c r="AK160" t="n">
        <f>E160*V160</f>
        <v>0</v>
      </c>
      <c r="AL160" t="n">
        <f>F160*V160</f>
        <v>0</v>
      </c>
      <c r="AM160" t="n">
        <f>G160*V160</f>
        <v>0</v>
      </c>
      <c r="AN160" t="n">
        <f>H160*V160</f>
        <v>0</v>
      </c>
      <c r="AO160" t="n">
        <f>I160*V160</f>
        <v>0</v>
      </c>
      <c r="AP160" t="n">
        <f>J160*V160</f>
        <v>0</v>
      </c>
      <c r="AQ160" t="n">
        <f>K160*V160</f>
        <v>0</v>
      </c>
      <c r="AR160" t="n">
        <f>L160*V160</f>
        <v>0</v>
      </c>
      <c r="AS160" t="n">
        <f>M160*V160</f>
        <v>0</v>
      </c>
      <c r="AT160" t="n">
        <f>N160*V160</f>
        <v>0</v>
      </c>
      <c r="AU160" t="n">
        <f>O160*V160</f>
        <v>0</v>
      </c>
      <c r="AV160" t="n">
        <f>P160*V160</f>
        <v>0</v>
      </c>
      <c r="AW160" t="n">
        <f>Q160*V160</f>
        <v>0</v>
      </c>
      <c r="AX160" t="n">
        <f>E160*W160</f>
        <v>0</v>
      </c>
      <c r="AY160" t="n">
        <f>F160*W160</f>
        <v>0</v>
      </c>
      <c r="AZ160" t="n">
        <f>G160*W160</f>
        <v>0</v>
      </c>
      <c r="BA160" t="n">
        <f>H160*W160</f>
        <v>0</v>
      </c>
      <c r="BB160" t="n">
        <f>I160*W160</f>
        <v>0</v>
      </c>
      <c r="BC160" t="n">
        <f>J160*W160</f>
        <v>0</v>
      </c>
      <c r="BD160" t="n">
        <f>K160*W160</f>
        <v>0</v>
      </c>
      <c r="BE160" t="n">
        <f>L160*W160</f>
        <v>0</v>
      </c>
      <c r="BF160" t="n">
        <f>M160*W160</f>
        <v>0</v>
      </c>
      <c r="BG160" t="n">
        <f>N160*W160</f>
        <v>0</v>
      </c>
      <c r="BH160" t="n">
        <f>O160*W160</f>
        <v>0</v>
      </c>
      <c r="BI160" t="n">
        <f>P160*W160</f>
        <v>0</v>
      </c>
      <c r="BJ160" t="n">
        <f>Q160*W160</f>
        <v>0</v>
      </c>
    </row>
    <row r="161">
      <c r="A161" t="n">
        <f>Charges!A161</f>
        <v>0</v>
      </c>
      <c r="B161" t="n">
        <f>Charges!C161</f>
        <v>0</v>
      </c>
      <c r="C161" t="str">
        <f>Charges!D161</f>
        <v/>
      </c>
      <c r="E161" t="n">
        <f>IF(1&lt;=Paramètres!$B$9,MAX(0,IFERROR(N(IF(ISNUMBER(Charges!F161),MAX(0,Charges!F161),IFERROR(VLOOKUP(Charges!F161,Paramètres!$A$15:$B$18,2,FALSE),0))),0)),0)</f>
        <v>0</v>
      </c>
      <c r="F161" t="n">
        <f>IF(2&lt;=Paramètres!$B$9,MAX(0,IFERROR(N(IF(ISNUMBER(Charges!G161),MAX(0,Charges!G161),IFERROR(VLOOKUP(Charges!G161,Paramètres!$A$15:$B$18,2,FALSE),0))),0)),0)</f>
        <v>0</v>
      </c>
      <c r="G161" t="n">
        <f>IF(3&lt;=Paramètres!$B$9,MAX(0,IFERROR(N(IF(ISNUMBER(Charges!H161),MAX(0,Charges!H161),IFERROR(VLOOKUP(Charges!H161,Paramètres!$A$15:$B$18,2,FALSE),0))),0)),0)</f>
        <v>0</v>
      </c>
      <c r="H161" t="n">
        <f>IF(4&lt;=Paramètres!$B$9,MAX(0,IFERROR(N(IF(ISNUMBER(Charges!I161),MAX(0,Charges!I161),IFERROR(VLOOKUP(Charges!I161,Paramètres!$A$15:$B$18,2,FALSE),0))),0)),0)</f>
        <v>0</v>
      </c>
      <c r="I161" t="n">
        <f>IF(5&lt;=Paramètres!$B$9,MAX(0,IFERROR(N(IF(ISNUMBER(Charges!J161),MAX(0,Charges!J161),IFERROR(VLOOKUP(Charges!J161,Paramètres!$A$15:$B$18,2,FALSE),0))),0)),0)</f>
        <v>0</v>
      </c>
      <c r="J161" t="n">
        <f>IF(6&lt;=Paramètres!$B$9,MAX(0,IFERROR(N(IF(ISNUMBER(Charges!K161),MAX(0,Charges!K161),IFERROR(VLOOKUP(Charges!K161,Paramètres!$A$15:$B$18,2,FALSE),0))),0)),0)</f>
        <v>0</v>
      </c>
      <c r="K161" t="n">
        <f>IF(7&lt;=Paramètres!$B$9,MAX(0,IFERROR(N(IF(ISNUMBER(Charges!L161),MAX(0,Charges!L161),IFERROR(VLOOKUP(Charges!L161,Paramètres!$A$15:$B$18,2,FALSE),0))),0)),0)</f>
        <v>0</v>
      </c>
      <c r="L161" t="n">
        <f>IF(8&lt;=Paramètres!$B$9,MAX(0,IFERROR(N(IF(ISNUMBER(Charges!M161),MAX(0,Charges!M161),IFERROR(VLOOKUP(Charges!M161,Paramètres!$A$15:$B$18,2,FALSE),0))),0)),0)</f>
        <v>0</v>
      </c>
      <c r="M161" t="n">
        <f>IF(9&lt;=Paramètres!$B$9,MAX(0,IFERROR(N(IF(ISNUMBER(Charges!N161),MAX(0,Charges!N161),IFERROR(VLOOKUP(Charges!N161,Paramètres!$A$15:$B$18,2,FALSE),0))),0)),0)</f>
        <v>0</v>
      </c>
      <c r="N161" t="n">
        <f>IF(10&lt;=Paramètres!$B$9,MAX(0,IFERROR(N(IF(ISNUMBER(Charges!O161),MAX(0,Charges!O161),IFERROR(VLOOKUP(Charges!O161,Paramètres!$A$15:$B$18,2,FALSE),0))),0)),0)</f>
        <v>0</v>
      </c>
      <c r="O161" t="n">
        <f>IF(11&lt;=Paramètres!$B$9,MAX(0,IFERROR(N(IF(ISNUMBER(Charges!P161),MAX(0,Charges!P161),IFERROR(VLOOKUP(Charges!P161,Paramètres!$A$15:$B$18,2,FALSE),0))),0)),0)</f>
        <v>0</v>
      </c>
      <c r="P161" t="n">
        <f>IF(12&lt;=Paramètres!$B$9,MAX(0,IFERROR(N(IF(ISNUMBER(Charges!Q161),MAX(0,Charges!Q161),IFERROR(VLOOKUP(Charges!Q161,Paramètres!$A$15:$B$18,2,FALSE),0))),0)),0)</f>
        <v>0</v>
      </c>
      <c r="Q161" t="n">
        <f>IF(13&lt;=Paramètres!$B$9,MAX(0,IFERROR(N(IF(ISNUMBER(Charges!R161),MAX(0,Charges!R161),IFERROR(VLOOKUP(Charges!R161,Paramètres!$A$15:$B$18,2,FALSE),0))),0)),0)</f>
        <v>0</v>
      </c>
      <c r="R161" t="n">
        <f>SUM(E161:Q161)</f>
        <v>0</v>
      </c>
      <c r="S161" t="n">
        <f>IF(IFERROR(VLOOKUP(A161,'Projets'!$A$8:$Z$67,7,FALSE),"")="Engager",1,0)</f>
        <v>0</v>
      </c>
      <c r="T161" t="n">
        <f>IF(OR(Charges!F161="",AND(ISNUMBER(Charges!F161),Charges!F161&gt;=0),Charges!F161="S",Charges!F161="M",Charges!F161="L",Charges!F161="XL"),0,1)+IF(OR(Charges!G161="",AND(ISNUMBER(Charges!G161),Charges!G161&gt;=0),Charges!G161="S",Charges!G161="M",Charges!G161="L",Charges!G161="XL"),0,1)+IF(OR(Charges!H161="",AND(ISNUMBER(Charges!H161),Charges!H161&gt;=0),Charges!H161="S",Charges!H161="M",Charges!H161="L",Charges!H161="XL"),0,1)+IF(OR(Charges!I161="",AND(ISNUMBER(Charges!I161),Charges!I161&gt;=0),Charges!I161="S",Charges!I161="M",Charges!I161="L",Charges!I161="XL"),0,1)+IF(OR(Charges!J161="",AND(ISNUMBER(Charges!J161),Charges!J161&gt;=0),Charges!J161="S",Charges!J161="M",Charges!J161="L",Charges!J161="XL"),0,1)+IF(OR(Charges!K161="",AND(ISNUMBER(Charges!K161),Charges!K161&gt;=0),Charges!K161="S",Charges!K161="M",Charges!K161="L",Charges!K161="XL"),0,1)+IF(OR(Charges!L161="",AND(ISNUMBER(Charges!L161),Charges!L161&gt;=0),Charges!L161="S",Charges!L161="M",Charges!L161="L",Charges!L161="XL"),0,1)+IF(OR(Charges!M161="",AND(ISNUMBER(Charges!M161),Charges!M161&gt;=0),Charges!M161="S",Charges!M161="M",Charges!M161="L",Charges!M161="XL"),0,1)+IF(OR(Charges!N161="",AND(ISNUMBER(Charges!N161),Charges!N161&gt;=0),Charges!N161="S",Charges!N161="M",Charges!N161="L",Charges!N161="XL"),0,1)+IF(OR(Charges!O161="",AND(ISNUMBER(Charges!O161),Charges!O161&gt;=0),Charges!O161="S",Charges!O161="M",Charges!O161="L",Charges!O161="XL"),0,1)+IF(OR(Charges!P161="",AND(ISNUMBER(Charges!P161),Charges!P161&gt;=0),Charges!P161="S",Charges!P161="M",Charges!P161="L",Charges!P161="XL"),0,1)+IF(OR(Charges!Q161="",AND(ISNUMBER(Charges!Q161),Charges!Q161&gt;=0),Charges!Q161="S",Charges!Q161="M",Charges!Q161="L",Charges!Q161="XL"),0,1)+IF(OR(Charges!R161="",AND(ISNUMBER(Charges!R161),Charges!R161&gt;=0),Charges!R161="S",Charges!R161="M",Charges!R161="L",Charges!R161="XL"),0,1)</f>
        <v>0</v>
      </c>
      <c r="U161" t="n">
        <f>IF(AND(1&gt;Paramètres!$B$9,Charges!F161&lt;&gt;"",Charges!F161&lt;&gt;0),1,0)+IF(AND(2&gt;Paramètres!$B$9,Charges!G161&lt;&gt;"",Charges!G161&lt;&gt;0),1,0)+IF(AND(3&gt;Paramètres!$B$9,Charges!H161&lt;&gt;"",Charges!H161&lt;&gt;0),1,0)+IF(AND(4&gt;Paramètres!$B$9,Charges!I161&lt;&gt;"",Charges!I161&lt;&gt;0),1,0)+IF(AND(5&gt;Paramètres!$B$9,Charges!J161&lt;&gt;"",Charges!J161&lt;&gt;0),1,0)+IF(AND(6&gt;Paramètres!$B$9,Charges!K161&lt;&gt;"",Charges!K161&lt;&gt;0),1,0)+IF(AND(7&gt;Paramètres!$B$9,Charges!L161&lt;&gt;"",Charges!L161&lt;&gt;0),1,0)+IF(AND(8&gt;Paramètres!$B$9,Charges!M161&lt;&gt;"",Charges!M161&lt;&gt;0),1,0)+IF(AND(9&gt;Paramètres!$B$9,Charges!N161&lt;&gt;"",Charges!N161&lt;&gt;0),1,0)+IF(AND(10&gt;Paramètres!$B$9,Charges!O161&lt;&gt;"",Charges!O161&lt;&gt;0),1,0)+IF(AND(11&gt;Paramètres!$B$9,Charges!P161&lt;&gt;"",Charges!P161&lt;&gt;0),1,0)+IF(AND(12&gt;Paramètres!$B$9,Charges!Q161&lt;&gt;"",Charges!Q161&lt;&gt;0),1,0)+IF(AND(13&gt;Paramètres!$B$9,Charges!R161&lt;&gt;"",Charges!R161&lt;&gt;0),1,0)</f>
        <v>0</v>
      </c>
      <c r="V161" t="n">
        <f>IF(IFERROR(VLOOKUP(A161,'Projets'!$A$8:$Z$67,5,FALSE),"")="Engager",1,0)</f>
        <v>0</v>
      </c>
      <c r="W161" t="n">
        <f>IF(IFERROR(VLOOKUP(A161,'Projets'!$A$8:$Z$67,6,FALSE),"")="Engager",1,0)</f>
        <v>0</v>
      </c>
      <c r="X161" t="n">
        <f>E161*S161</f>
        <v>0</v>
      </c>
      <c r="Y161" t="n">
        <f>F161*S161</f>
        <v>0</v>
      </c>
      <c r="Z161" t="n">
        <f>G161*S161</f>
        <v>0</v>
      </c>
      <c r="AA161" t="n">
        <f>H161*S161</f>
        <v>0</v>
      </c>
      <c r="AB161" t="n">
        <f>I161*S161</f>
        <v>0</v>
      </c>
      <c r="AC161" t="n">
        <f>J161*S161</f>
        <v>0</v>
      </c>
      <c r="AD161" t="n">
        <f>K161*S161</f>
        <v>0</v>
      </c>
      <c r="AE161" t="n">
        <f>L161*S161</f>
        <v>0</v>
      </c>
      <c r="AF161" t="n">
        <f>M161*S161</f>
        <v>0</v>
      </c>
      <c r="AG161" t="n">
        <f>N161*S161</f>
        <v>0</v>
      </c>
      <c r="AH161" t="n">
        <f>O161*S161</f>
        <v>0</v>
      </c>
      <c r="AI161" t="n">
        <f>P161*S161</f>
        <v>0</v>
      </c>
      <c r="AJ161" t="n">
        <f>Q161*S161</f>
        <v>0</v>
      </c>
      <c r="AK161" t="n">
        <f>E161*V161</f>
        <v>0</v>
      </c>
      <c r="AL161" t="n">
        <f>F161*V161</f>
        <v>0</v>
      </c>
      <c r="AM161" t="n">
        <f>G161*V161</f>
        <v>0</v>
      </c>
      <c r="AN161" t="n">
        <f>H161*V161</f>
        <v>0</v>
      </c>
      <c r="AO161" t="n">
        <f>I161*V161</f>
        <v>0</v>
      </c>
      <c r="AP161" t="n">
        <f>J161*V161</f>
        <v>0</v>
      </c>
      <c r="AQ161" t="n">
        <f>K161*V161</f>
        <v>0</v>
      </c>
      <c r="AR161" t="n">
        <f>L161*V161</f>
        <v>0</v>
      </c>
      <c r="AS161" t="n">
        <f>M161*V161</f>
        <v>0</v>
      </c>
      <c r="AT161" t="n">
        <f>N161*V161</f>
        <v>0</v>
      </c>
      <c r="AU161" t="n">
        <f>O161*V161</f>
        <v>0</v>
      </c>
      <c r="AV161" t="n">
        <f>P161*V161</f>
        <v>0</v>
      </c>
      <c r="AW161" t="n">
        <f>Q161*V161</f>
        <v>0</v>
      </c>
      <c r="AX161" t="n">
        <f>E161*W161</f>
        <v>0</v>
      </c>
      <c r="AY161" t="n">
        <f>F161*W161</f>
        <v>0</v>
      </c>
      <c r="AZ161" t="n">
        <f>G161*W161</f>
        <v>0</v>
      </c>
      <c r="BA161" t="n">
        <f>H161*W161</f>
        <v>0</v>
      </c>
      <c r="BB161" t="n">
        <f>I161*W161</f>
        <v>0</v>
      </c>
      <c r="BC161" t="n">
        <f>J161*W161</f>
        <v>0</v>
      </c>
      <c r="BD161" t="n">
        <f>K161*W161</f>
        <v>0</v>
      </c>
      <c r="BE161" t="n">
        <f>L161*W161</f>
        <v>0</v>
      </c>
      <c r="BF161" t="n">
        <f>M161*W161</f>
        <v>0</v>
      </c>
      <c r="BG161" t="n">
        <f>N161*W161</f>
        <v>0</v>
      </c>
      <c r="BH161" t="n">
        <f>O161*W161</f>
        <v>0</v>
      </c>
      <c r="BI161" t="n">
        <f>P161*W161</f>
        <v>0</v>
      </c>
      <c r="BJ161" t="n">
        <f>Q161*W161</f>
        <v>0</v>
      </c>
    </row>
    <row r="162">
      <c r="A162" t="n">
        <f>Charges!A162</f>
        <v>0</v>
      </c>
      <c r="B162" t="n">
        <f>Charges!C162</f>
        <v>0</v>
      </c>
      <c r="C162" t="str">
        <f>Charges!D162</f>
        <v/>
      </c>
      <c r="E162" t="n">
        <f>IF(1&lt;=Paramètres!$B$9,MAX(0,IFERROR(N(IF(ISNUMBER(Charges!F162),MAX(0,Charges!F162),IFERROR(VLOOKUP(Charges!F162,Paramètres!$A$15:$B$18,2,FALSE),0))),0)),0)</f>
        <v>0</v>
      </c>
      <c r="F162" t="n">
        <f>IF(2&lt;=Paramètres!$B$9,MAX(0,IFERROR(N(IF(ISNUMBER(Charges!G162),MAX(0,Charges!G162),IFERROR(VLOOKUP(Charges!G162,Paramètres!$A$15:$B$18,2,FALSE),0))),0)),0)</f>
        <v>0</v>
      </c>
      <c r="G162" t="n">
        <f>IF(3&lt;=Paramètres!$B$9,MAX(0,IFERROR(N(IF(ISNUMBER(Charges!H162),MAX(0,Charges!H162),IFERROR(VLOOKUP(Charges!H162,Paramètres!$A$15:$B$18,2,FALSE),0))),0)),0)</f>
        <v>0</v>
      </c>
      <c r="H162" t="n">
        <f>IF(4&lt;=Paramètres!$B$9,MAX(0,IFERROR(N(IF(ISNUMBER(Charges!I162),MAX(0,Charges!I162),IFERROR(VLOOKUP(Charges!I162,Paramètres!$A$15:$B$18,2,FALSE),0))),0)),0)</f>
        <v>0</v>
      </c>
      <c r="I162" t="n">
        <f>IF(5&lt;=Paramètres!$B$9,MAX(0,IFERROR(N(IF(ISNUMBER(Charges!J162),MAX(0,Charges!J162),IFERROR(VLOOKUP(Charges!J162,Paramètres!$A$15:$B$18,2,FALSE),0))),0)),0)</f>
        <v>0</v>
      </c>
      <c r="J162" t="n">
        <f>IF(6&lt;=Paramètres!$B$9,MAX(0,IFERROR(N(IF(ISNUMBER(Charges!K162),MAX(0,Charges!K162),IFERROR(VLOOKUP(Charges!K162,Paramètres!$A$15:$B$18,2,FALSE),0))),0)),0)</f>
        <v>0</v>
      </c>
      <c r="K162" t="n">
        <f>IF(7&lt;=Paramètres!$B$9,MAX(0,IFERROR(N(IF(ISNUMBER(Charges!L162),MAX(0,Charges!L162),IFERROR(VLOOKUP(Charges!L162,Paramètres!$A$15:$B$18,2,FALSE),0))),0)),0)</f>
        <v>0</v>
      </c>
      <c r="L162" t="n">
        <f>IF(8&lt;=Paramètres!$B$9,MAX(0,IFERROR(N(IF(ISNUMBER(Charges!M162),MAX(0,Charges!M162),IFERROR(VLOOKUP(Charges!M162,Paramètres!$A$15:$B$18,2,FALSE),0))),0)),0)</f>
        <v>0</v>
      </c>
      <c r="M162" t="n">
        <f>IF(9&lt;=Paramètres!$B$9,MAX(0,IFERROR(N(IF(ISNUMBER(Charges!N162),MAX(0,Charges!N162),IFERROR(VLOOKUP(Charges!N162,Paramètres!$A$15:$B$18,2,FALSE),0))),0)),0)</f>
        <v>0</v>
      </c>
      <c r="N162" t="n">
        <f>IF(10&lt;=Paramètres!$B$9,MAX(0,IFERROR(N(IF(ISNUMBER(Charges!O162),MAX(0,Charges!O162),IFERROR(VLOOKUP(Charges!O162,Paramètres!$A$15:$B$18,2,FALSE),0))),0)),0)</f>
        <v>0</v>
      </c>
      <c r="O162" t="n">
        <f>IF(11&lt;=Paramètres!$B$9,MAX(0,IFERROR(N(IF(ISNUMBER(Charges!P162),MAX(0,Charges!P162),IFERROR(VLOOKUP(Charges!P162,Paramètres!$A$15:$B$18,2,FALSE),0))),0)),0)</f>
        <v>0</v>
      </c>
      <c r="P162" t="n">
        <f>IF(12&lt;=Paramètres!$B$9,MAX(0,IFERROR(N(IF(ISNUMBER(Charges!Q162),MAX(0,Charges!Q162),IFERROR(VLOOKUP(Charges!Q162,Paramètres!$A$15:$B$18,2,FALSE),0))),0)),0)</f>
        <v>0</v>
      </c>
      <c r="Q162" t="n">
        <f>IF(13&lt;=Paramètres!$B$9,MAX(0,IFERROR(N(IF(ISNUMBER(Charges!R162),MAX(0,Charges!R162),IFERROR(VLOOKUP(Charges!R162,Paramètres!$A$15:$B$18,2,FALSE),0))),0)),0)</f>
        <v>0</v>
      </c>
      <c r="R162" t="n">
        <f>SUM(E162:Q162)</f>
        <v>0</v>
      </c>
      <c r="S162" t="n">
        <f>IF(IFERROR(VLOOKUP(A162,'Projets'!$A$8:$Z$67,7,FALSE),"")="Engager",1,0)</f>
        <v>0</v>
      </c>
      <c r="T162" t="n">
        <f>IF(OR(Charges!F162="",AND(ISNUMBER(Charges!F162),Charges!F162&gt;=0),Charges!F162="S",Charges!F162="M",Charges!F162="L",Charges!F162="XL"),0,1)+IF(OR(Charges!G162="",AND(ISNUMBER(Charges!G162),Charges!G162&gt;=0),Charges!G162="S",Charges!G162="M",Charges!G162="L",Charges!G162="XL"),0,1)+IF(OR(Charges!H162="",AND(ISNUMBER(Charges!H162),Charges!H162&gt;=0),Charges!H162="S",Charges!H162="M",Charges!H162="L",Charges!H162="XL"),0,1)+IF(OR(Charges!I162="",AND(ISNUMBER(Charges!I162),Charges!I162&gt;=0),Charges!I162="S",Charges!I162="M",Charges!I162="L",Charges!I162="XL"),0,1)+IF(OR(Charges!J162="",AND(ISNUMBER(Charges!J162),Charges!J162&gt;=0),Charges!J162="S",Charges!J162="M",Charges!J162="L",Charges!J162="XL"),0,1)+IF(OR(Charges!K162="",AND(ISNUMBER(Charges!K162),Charges!K162&gt;=0),Charges!K162="S",Charges!K162="M",Charges!K162="L",Charges!K162="XL"),0,1)+IF(OR(Charges!L162="",AND(ISNUMBER(Charges!L162),Charges!L162&gt;=0),Charges!L162="S",Charges!L162="M",Charges!L162="L",Charges!L162="XL"),0,1)+IF(OR(Charges!M162="",AND(ISNUMBER(Charges!M162),Charges!M162&gt;=0),Charges!M162="S",Charges!M162="M",Charges!M162="L",Charges!M162="XL"),0,1)+IF(OR(Charges!N162="",AND(ISNUMBER(Charges!N162),Charges!N162&gt;=0),Charges!N162="S",Charges!N162="M",Charges!N162="L",Charges!N162="XL"),0,1)+IF(OR(Charges!O162="",AND(ISNUMBER(Charges!O162),Charges!O162&gt;=0),Charges!O162="S",Charges!O162="M",Charges!O162="L",Charges!O162="XL"),0,1)+IF(OR(Charges!P162="",AND(ISNUMBER(Charges!P162),Charges!P162&gt;=0),Charges!P162="S",Charges!P162="M",Charges!P162="L",Charges!P162="XL"),0,1)+IF(OR(Charges!Q162="",AND(ISNUMBER(Charges!Q162),Charges!Q162&gt;=0),Charges!Q162="S",Charges!Q162="M",Charges!Q162="L",Charges!Q162="XL"),0,1)+IF(OR(Charges!R162="",AND(ISNUMBER(Charges!R162),Charges!R162&gt;=0),Charges!R162="S",Charges!R162="M",Charges!R162="L",Charges!R162="XL"),0,1)</f>
        <v>0</v>
      </c>
      <c r="U162" t="n">
        <f>IF(AND(1&gt;Paramètres!$B$9,Charges!F162&lt;&gt;"",Charges!F162&lt;&gt;0),1,0)+IF(AND(2&gt;Paramètres!$B$9,Charges!G162&lt;&gt;"",Charges!G162&lt;&gt;0),1,0)+IF(AND(3&gt;Paramètres!$B$9,Charges!H162&lt;&gt;"",Charges!H162&lt;&gt;0),1,0)+IF(AND(4&gt;Paramètres!$B$9,Charges!I162&lt;&gt;"",Charges!I162&lt;&gt;0),1,0)+IF(AND(5&gt;Paramètres!$B$9,Charges!J162&lt;&gt;"",Charges!J162&lt;&gt;0),1,0)+IF(AND(6&gt;Paramètres!$B$9,Charges!K162&lt;&gt;"",Charges!K162&lt;&gt;0),1,0)+IF(AND(7&gt;Paramètres!$B$9,Charges!L162&lt;&gt;"",Charges!L162&lt;&gt;0),1,0)+IF(AND(8&gt;Paramètres!$B$9,Charges!M162&lt;&gt;"",Charges!M162&lt;&gt;0),1,0)+IF(AND(9&gt;Paramètres!$B$9,Charges!N162&lt;&gt;"",Charges!N162&lt;&gt;0),1,0)+IF(AND(10&gt;Paramètres!$B$9,Charges!O162&lt;&gt;"",Charges!O162&lt;&gt;0),1,0)+IF(AND(11&gt;Paramètres!$B$9,Charges!P162&lt;&gt;"",Charges!P162&lt;&gt;0),1,0)+IF(AND(12&gt;Paramètres!$B$9,Charges!Q162&lt;&gt;"",Charges!Q162&lt;&gt;0),1,0)+IF(AND(13&gt;Paramètres!$B$9,Charges!R162&lt;&gt;"",Charges!R162&lt;&gt;0),1,0)</f>
        <v>0</v>
      </c>
      <c r="V162" t="n">
        <f>IF(IFERROR(VLOOKUP(A162,'Projets'!$A$8:$Z$67,5,FALSE),"")="Engager",1,0)</f>
        <v>0</v>
      </c>
      <c r="W162" t="n">
        <f>IF(IFERROR(VLOOKUP(A162,'Projets'!$A$8:$Z$67,6,FALSE),"")="Engager",1,0)</f>
        <v>0</v>
      </c>
      <c r="X162" t="n">
        <f>E162*S162</f>
        <v>0</v>
      </c>
      <c r="Y162" t="n">
        <f>F162*S162</f>
        <v>0</v>
      </c>
      <c r="Z162" t="n">
        <f>G162*S162</f>
        <v>0</v>
      </c>
      <c r="AA162" t="n">
        <f>H162*S162</f>
        <v>0</v>
      </c>
      <c r="AB162" t="n">
        <f>I162*S162</f>
        <v>0</v>
      </c>
      <c r="AC162" t="n">
        <f>J162*S162</f>
        <v>0</v>
      </c>
      <c r="AD162" t="n">
        <f>K162*S162</f>
        <v>0</v>
      </c>
      <c r="AE162" t="n">
        <f>L162*S162</f>
        <v>0</v>
      </c>
      <c r="AF162" t="n">
        <f>M162*S162</f>
        <v>0</v>
      </c>
      <c r="AG162" t="n">
        <f>N162*S162</f>
        <v>0</v>
      </c>
      <c r="AH162" t="n">
        <f>O162*S162</f>
        <v>0</v>
      </c>
      <c r="AI162" t="n">
        <f>P162*S162</f>
        <v>0</v>
      </c>
      <c r="AJ162" t="n">
        <f>Q162*S162</f>
        <v>0</v>
      </c>
      <c r="AK162" t="n">
        <f>E162*V162</f>
        <v>0</v>
      </c>
      <c r="AL162" t="n">
        <f>F162*V162</f>
        <v>0</v>
      </c>
      <c r="AM162" t="n">
        <f>G162*V162</f>
        <v>0</v>
      </c>
      <c r="AN162" t="n">
        <f>H162*V162</f>
        <v>0</v>
      </c>
      <c r="AO162" t="n">
        <f>I162*V162</f>
        <v>0</v>
      </c>
      <c r="AP162" t="n">
        <f>J162*V162</f>
        <v>0</v>
      </c>
      <c r="AQ162" t="n">
        <f>K162*V162</f>
        <v>0</v>
      </c>
      <c r="AR162" t="n">
        <f>L162*V162</f>
        <v>0</v>
      </c>
      <c r="AS162" t="n">
        <f>M162*V162</f>
        <v>0</v>
      </c>
      <c r="AT162" t="n">
        <f>N162*V162</f>
        <v>0</v>
      </c>
      <c r="AU162" t="n">
        <f>O162*V162</f>
        <v>0</v>
      </c>
      <c r="AV162" t="n">
        <f>P162*V162</f>
        <v>0</v>
      </c>
      <c r="AW162" t="n">
        <f>Q162*V162</f>
        <v>0</v>
      </c>
      <c r="AX162" t="n">
        <f>E162*W162</f>
        <v>0</v>
      </c>
      <c r="AY162" t="n">
        <f>F162*W162</f>
        <v>0</v>
      </c>
      <c r="AZ162" t="n">
        <f>G162*W162</f>
        <v>0</v>
      </c>
      <c r="BA162" t="n">
        <f>H162*W162</f>
        <v>0</v>
      </c>
      <c r="BB162" t="n">
        <f>I162*W162</f>
        <v>0</v>
      </c>
      <c r="BC162" t="n">
        <f>J162*W162</f>
        <v>0</v>
      </c>
      <c r="BD162" t="n">
        <f>K162*W162</f>
        <v>0</v>
      </c>
      <c r="BE162" t="n">
        <f>L162*W162</f>
        <v>0</v>
      </c>
      <c r="BF162" t="n">
        <f>M162*W162</f>
        <v>0</v>
      </c>
      <c r="BG162" t="n">
        <f>N162*W162</f>
        <v>0</v>
      </c>
      <c r="BH162" t="n">
        <f>O162*W162</f>
        <v>0</v>
      </c>
      <c r="BI162" t="n">
        <f>P162*W162</f>
        <v>0</v>
      </c>
      <c r="BJ162" t="n">
        <f>Q162*W162</f>
        <v>0</v>
      </c>
    </row>
    <row r="163">
      <c r="A163" t="n">
        <f>Charges!A163</f>
        <v>0</v>
      </c>
      <c r="B163" t="n">
        <f>Charges!C163</f>
        <v>0</v>
      </c>
      <c r="C163" t="str">
        <f>Charges!D163</f>
        <v/>
      </c>
      <c r="E163" t="n">
        <f>IF(1&lt;=Paramètres!$B$9,MAX(0,IFERROR(N(IF(ISNUMBER(Charges!F163),MAX(0,Charges!F163),IFERROR(VLOOKUP(Charges!F163,Paramètres!$A$15:$B$18,2,FALSE),0))),0)),0)</f>
        <v>0</v>
      </c>
      <c r="F163" t="n">
        <f>IF(2&lt;=Paramètres!$B$9,MAX(0,IFERROR(N(IF(ISNUMBER(Charges!G163),MAX(0,Charges!G163),IFERROR(VLOOKUP(Charges!G163,Paramètres!$A$15:$B$18,2,FALSE),0))),0)),0)</f>
        <v>0</v>
      </c>
      <c r="G163" t="n">
        <f>IF(3&lt;=Paramètres!$B$9,MAX(0,IFERROR(N(IF(ISNUMBER(Charges!H163),MAX(0,Charges!H163),IFERROR(VLOOKUP(Charges!H163,Paramètres!$A$15:$B$18,2,FALSE),0))),0)),0)</f>
        <v>0</v>
      </c>
      <c r="H163" t="n">
        <f>IF(4&lt;=Paramètres!$B$9,MAX(0,IFERROR(N(IF(ISNUMBER(Charges!I163),MAX(0,Charges!I163),IFERROR(VLOOKUP(Charges!I163,Paramètres!$A$15:$B$18,2,FALSE),0))),0)),0)</f>
        <v>0</v>
      </c>
      <c r="I163" t="n">
        <f>IF(5&lt;=Paramètres!$B$9,MAX(0,IFERROR(N(IF(ISNUMBER(Charges!J163),MAX(0,Charges!J163),IFERROR(VLOOKUP(Charges!J163,Paramètres!$A$15:$B$18,2,FALSE),0))),0)),0)</f>
        <v>0</v>
      </c>
      <c r="J163" t="n">
        <f>IF(6&lt;=Paramètres!$B$9,MAX(0,IFERROR(N(IF(ISNUMBER(Charges!K163),MAX(0,Charges!K163),IFERROR(VLOOKUP(Charges!K163,Paramètres!$A$15:$B$18,2,FALSE),0))),0)),0)</f>
        <v>0</v>
      </c>
      <c r="K163" t="n">
        <f>IF(7&lt;=Paramètres!$B$9,MAX(0,IFERROR(N(IF(ISNUMBER(Charges!L163),MAX(0,Charges!L163),IFERROR(VLOOKUP(Charges!L163,Paramètres!$A$15:$B$18,2,FALSE),0))),0)),0)</f>
        <v>0</v>
      </c>
      <c r="L163" t="n">
        <f>IF(8&lt;=Paramètres!$B$9,MAX(0,IFERROR(N(IF(ISNUMBER(Charges!M163),MAX(0,Charges!M163),IFERROR(VLOOKUP(Charges!M163,Paramètres!$A$15:$B$18,2,FALSE),0))),0)),0)</f>
        <v>0</v>
      </c>
      <c r="M163" t="n">
        <f>IF(9&lt;=Paramètres!$B$9,MAX(0,IFERROR(N(IF(ISNUMBER(Charges!N163),MAX(0,Charges!N163),IFERROR(VLOOKUP(Charges!N163,Paramètres!$A$15:$B$18,2,FALSE),0))),0)),0)</f>
        <v>0</v>
      </c>
      <c r="N163" t="n">
        <f>IF(10&lt;=Paramètres!$B$9,MAX(0,IFERROR(N(IF(ISNUMBER(Charges!O163),MAX(0,Charges!O163),IFERROR(VLOOKUP(Charges!O163,Paramètres!$A$15:$B$18,2,FALSE),0))),0)),0)</f>
        <v>0</v>
      </c>
      <c r="O163" t="n">
        <f>IF(11&lt;=Paramètres!$B$9,MAX(0,IFERROR(N(IF(ISNUMBER(Charges!P163),MAX(0,Charges!P163),IFERROR(VLOOKUP(Charges!P163,Paramètres!$A$15:$B$18,2,FALSE),0))),0)),0)</f>
        <v>0</v>
      </c>
      <c r="P163" t="n">
        <f>IF(12&lt;=Paramètres!$B$9,MAX(0,IFERROR(N(IF(ISNUMBER(Charges!Q163),MAX(0,Charges!Q163),IFERROR(VLOOKUP(Charges!Q163,Paramètres!$A$15:$B$18,2,FALSE),0))),0)),0)</f>
        <v>0</v>
      </c>
      <c r="Q163" t="n">
        <f>IF(13&lt;=Paramètres!$B$9,MAX(0,IFERROR(N(IF(ISNUMBER(Charges!R163),MAX(0,Charges!R163),IFERROR(VLOOKUP(Charges!R163,Paramètres!$A$15:$B$18,2,FALSE),0))),0)),0)</f>
        <v>0</v>
      </c>
      <c r="R163" t="n">
        <f>SUM(E163:Q163)</f>
        <v>0</v>
      </c>
      <c r="S163" t="n">
        <f>IF(IFERROR(VLOOKUP(A163,'Projets'!$A$8:$Z$67,7,FALSE),"")="Engager",1,0)</f>
        <v>0</v>
      </c>
      <c r="T163" t="n">
        <f>IF(OR(Charges!F163="",AND(ISNUMBER(Charges!F163),Charges!F163&gt;=0),Charges!F163="S",Charges!F163="M",Charges!F163="L",Charges!F163="XL"),0,1)+IF(OR(Charges!G163="",AND(ISNUMBER(Charges!G163),Charges!G163&gt;=0),Charges!G163="S",Charges!G163="M",Charges!G163="L",Charges!G163="XL"),0,1)+IF(OR(Charges!H163="",AND(ISNUMBER(Charges!H163),Charges!H163&gt;=0),Charges!H163="S",Charges!H163="M",Charges!H163="L",Charges!H163="XL"),0,1)+IF(OR(Charges!I163="",AND(ISNUMBER(Charges!I163),Charges!I163&gt;=0),Charges!I163="S",Charges!I163="M",Charges!I163="L",Charges!I163="XL"),0,1)+IF(OR(Charges!J163="",AND(ISNUMBER(Charges!J163),Charges!J163&gt;=0),Charges!J163="S",Charges!J163="M",Charges!J163="L",Charges!J163="XL"),0,1)+IF(OR(Charges!K163="",AND(ISNUMBER(Charges!K163),Charges!K163&gt;=0),Charges!K163="S",Charges!K163="M",Charges!K163="L",Charges!K163="XL"),0,1)+IF(OR(Charges!L163="",AND(ISNUMBER(Charges!L163),Charges!L163&gt;=0),Charges!L163="S",Charges!L163="M",Charges!L163="L",Charges!L163="XL"),0,1)+IF(OR(Charges!M163="",AND(ISNUMBER(Charges!M163),Charges!M163&gt;=0),Charges!M163="S",Charges!M163="M",Charges!M163="L",Charges!M163="XL"),0,1)+IF(OR(Charges!N163="",AND(ISNUMBER(Charges!N163),Charges!N163&gt;=0),Charges!N163="S",Charges!N163="M",Charges!N163="L",Charges!N163="XL"),0,1)+IF(OR(Charges!O163="",AND(ISNUMBER(Charges!O163),Charges!O163&gt;=0),Charges!O163="S",Charges!O163="M",Charges!O163="L",Charges!O163="XL"),0,1)+IF(OR(Charges!P163="",AND(ISNUMBER(Charges!P163),Charges!P163&gt;=0),Charges!P163="S",Charges!P163="M",Charges!P163="L",Charges!P163="XL"),0,1)+IF(OR(Charges!Q163="",AND(ISNUMBER(Charges!Q163),Charges!Q163&gt;=0),Charges!Q163="S",Charges!Q163="M",Charges!Q163="L",Charges!Q163="XL"),0,1)+IF(OR(Charges!R163="",AND(ISNUMBER(Charges!R163),Charges!R163&gt;=0),Charges!R163="S",Charges!R163="M",Charges!R163="L",Charges!R163="XL"),0,1)</f>
        <v>0</v>
      </c>
      <c r="U163" t="n">
        <f>IF(AND(1&gt;Paramètres!$B$9,Charges!F163&lt;&gt;"",Charges!F163&lt;&gt;0),1,0)+IF(AND(2&gt;Paramètres!$B$9,Charges!G163&lt;&gt;"",Charges!G163&lt;&gt;0),1,0)+IF(AND(3&gt;Paramètres!$B$9,Charges!H163&lt;&gt;"",Charges!H163&lt;&gt;0),1,0)+IF(AND(4&gt;Paramètres!$B$9,Charges!I163&lt;&gt;"",Charges!I163&lt;&gt;0),1,0)+IF(AND(5&gt;Paramètres!$B$9,Charges!J163&lt;&gt;"",Charges!J163&lt;&gt;0),1,0)+IF(AND(6&gt;Paramètres!$B$9,Charges!K163&lt;&gt;"",Charges!K163&lt;&gt;0),1,0)+IF(AND(7&gt;Paramètres!$B$9,Charges!L163&lt;&gt;"",Charges!L163&lt;&gt;0),1,0)+IF(AND(8&gt;Paramètres!$B$9,Charges!M163&lt;&gt;"",Charges!M163&lt;&gt;0),1,0)+IF(AND(9&gt;Paramètres!$B$9,Charges!N163&lt;&gt;"",Charges!N163&lt;&gt;0),1,0)+IF(AND(10&gt;Paramètres!$B$9,Charges!O163&lt;&gt;"",Charges!O163&lt;&gt;0),1,0)+IF(AND(11&gt;Paramètres!$B$9,Charges!P163&lt;&gt;"",Charges!P163&lt;&gt;0),1,0)+IF(AND(12&gt;Paramètres!$B$9,Charges!Q163&lt;&gt;"",Charges!Q163&lt;&gt;0),1,0)+IF(AND(13&gt;Paramètres!$B$9,Charges!R163&lt;&gt;"",Charges!R163&lt;&gt;0),1,0)</f>
        <v>0</v>
      </c>
      <c r="V163" t="n">
        <f>IF(IFERROR(VLOOKUP(A163,'Projets'!$A$8:$Z$67,5,FALSE),"")="Engager",1,0)</f>
        <v>0</v>
      </c>
      <c r="W163" t="n">
        <f>IF(IFERROR(VLOOKUP(A163,'Projets'!$A$8:$Z$67,6,FALSE),"")="Engager",1,0)</f>
        <v>0</v>
      </c>
      <c r="X163" t="n">
        <f>E163*S163</f>
        <v>0</v>
      </c>
      <c r="Y163" t="n">
        <f>F163*S163</f>
        <v>0</v>
      </c>
      <c r="Z163" t="n">
        <f>G163*S163</f>
        <v>0</v>
      </c>
      <c r="AA163" t="n">
        <f>H163*S163</f>
        <v>0</v>
      </c>
      <c r="AB163" t="n">
        <f>I163*S163</f>
        <v>0</v>
      </c>
      <c r="AC163" t="n">
        <f>J163*S163</f>
        <v>0</v>
      </c>
      <c r="AD163" t="n">
        <f>K163*S163</f>
        <v>0</v>
      </c>
      <c r="AE163" t="n">
        <f>L163*S163</f>
        <v>0</v>
      </c>
      <c r="AF163" t="n">
        <f>M163*S163</f>
        <v>0</v>
      </c>
      <c r="AG163" t="n">
        <f>N163*S163</f>
        <v>0</v>
      </c>
      <c r="AH163" t="n">
        <f>O163*S163</f>
        <v>0</v>
      </c>
      <c r="AI163" t="n">
        <f>P163*S163</f>
        <v>0</v>
      </c>
      <c r="AJ163" t="n">
        <f>Q163*S163</f>
        <v>0</v>
      </c>
      <c r="AK163" t="n">
        <f>E163*V163</f>
        <v>0</v>
      </c>
      <c r="AL163" t="n">
        <f>F163*V163</f>
        <v>0</v>
      </c>
      <c r="AM163" t="n">
        <f>G163*V163</f>
        <v>0</v>
      </c>
      <c r="AN163" t="n">
        <f>H163*V163</f>
        <v>0</v>
      </c>
      <c r="AO163" t="n">
        <f>I163*V163</f>
        <v>0</v>
      </c>
      <c r="AP163" t="n">
        <f>J163*V163</f>
        <v>0</v>
      </c>
      <c r="AQ163" t="n">
        <f>K163*V163</f>
        <v>0</v>
      </c>
      <c r="AR163" t="n">
        <f>L163*V163</f>
        <v>0</v>
      </c>
      <c r="AS163" t="n">
        <f>M163*V163</f>
        <v>0</v>
      </c>
      <c r="AT163" t="n">
        <f>N163*V163</f>
        <v>0</v>
      </c>
      <c r="AU163" t="n">
        <f>O163*V163</f>
        <v>0</v>
      </c>
      <c r="AV163" t="n">
        <f>P163*V163</f>
        <v>0</v>
      </c>
      <c r="AW163" t="n">
        <f>Q163*V163</f>
        <v>0</v>
      </c>
      <c r="AX163" t="n">
        <f>E163*W163</f>
        <v>0</v>
      </c>
      <c r="AY163" t="n">
        <f>F163*W163</f>
        <v>0</v>
      </c>
      <c r="AZ163" t="n">
        <f>G163*W163</f>
        <v>0</v>
      </c>
      <c r="BA163" t="n">
        <f>H163*W163</f>
        <v>0</v>
      </c>
      <c r="BB163" t="n">
        <f>I163*W163</f>
        <v>0</v>
      </c>
      <c r="BC163" t="n">
        <f>J163*W163</f>
        <v>0</v>
      </c>
      <c r="BD163" t="n">
        <f>K163*W163</f>
        <v>0</v>
      </c>
      <c r="BE163" t="n">
        <f>L163*W163</f>
        <v>0</v>
      </c>
      <c r="BF163" t="n">
        <f>M163*W163</f>
        <v>0</v>
      </c>
      <c r="BG163" t="n">
        <f>N163*W163</f>
        <v>0</v>
      </c>
      <c r="BH163" t="n">
        <f>O163*W163</f>
        <v>0</v>
      </c>
      <c r="BI163" t="n">
        <f>P163*W163</f>
        <v>0</v>
      </c>
      <c r="BJ163" t="n">
        <f>Q163*W163</f>
        <v>0</v>
      </c>
    </row>
    <row r="164">
      <c r="A164" t="n">
        <f>Charges!A164</f>
        <v>0</v>
      </c>
      <c r="B164" t="n">
        <f>Charges!C164</f>
        <v>0</v>
      </c>
      <c r="C164" t="str">
        <f>Charges!D164</f>
        <v/>
      </c>
      <c r="E164" t="n">
        <f>IF(1&lt;=Paramètres!$B$9,MAX(0,IFERROR(N(IF(ISNUMBER(Charges!F164),MAX(0,Charges!F164),IFERROR(VLOOKUP(Charges!F164,Paramètres!$A$15:$B$18,2,FALSE),0))),0)),0)</f>
        <v>0</v>
      </c>
      <c r="F164" t="n">
        <f>IF(2&lt;=Paramètres!$B$9,MAX(0,IFERROR(N(IF(ISNUMBER(Charges!G164),MAX(0,Charges!G164),IFERROR(VLOOKUP(Charges!G164,Paramètres!$A$15:$B$18,2,FALSE),0))),0)),0)</f>
        <v>0</v>
      </c>
      <c r="G164" t="n">
        <f>IF(3&lt;=Paramètres!$B$9,MAX(0,IFERROR(N(IF(ISNUMBER(Charges!H164),MAX(0,Charges!H164),IFERROR(VLOOKUP(Charges!H164,Paramètres!$A$15:$B$18,2,FALSE),0))),0)),0)</f>
        <v>0</v>
      </c>
      <c r="H164" t="n">
        <f>IF(4&lt;=Paramètres!$B$9,MAX(0,IFERROR(N(IF(ISNUMBER(Charges!I164),MAX(0,Charges!I164),IFERROR(VLOOKUP(Charges!I164,Paramètres!$A$15:$B$18,2,FALSE),0))),0)),0)</f>
        <v>0</v>
      </c>
      <c r="I164" t="n">
        <f>IF(5&lt;=Paramètres!$B$9,MAX(0,IFERROR(N(IF(ISNUMBER(Charges!J164),MAX(0,Charges!J164),IFERROR(VLOOKUP(Charges!J164,Paramètres!$A$15:$B$18,2,FALSE),0))),0)),0)</f>
        <v>0</v>
      </c>
      <c r="J164" t="n">
        <f>IF(6&lt;=Paramètres!$B$9,MAX(0,IFERROR(N(IF(ISNUMBER(Charges!K164),MAX(0,Charges!K164),IFERROR(VLOOKUP(Charges!K164,Paramètres!$A$15:$B$18,2,FALSE),0))),0)),0)</f>
        <v>0</v>
      </c>
      <c r="K164" t="n">
        <f>IF(7&lt;=Paramètres!$B$9,MAX(0,IFERROR(N(IF(ISNUMBER(Charges!L164),MAX(0,Charges!L164),IFERROR(VLOOKUP(Charges!L164,Paramètres!$A$15:$B$18,2,FALSE),0))),0)),0)</f>
        <v>0</v>
      </c>
      <c r="L164" t="n">
        <f>IF(8&lt;=Paramètres!$B$9,MAX(0,IFERROR(N(IF(ISNUMBER(Charges!M164),MAX(0,Charges!M164),IFERROR(VLOOKUP(Charges!M164,Paramètres!$A$15:$B$18,2,FALSE),0))),0)),0)</f>
        <v>0</v>
      </c>
      <c r="M164" t="n">
        <f>IF(9&lt;=Paramètres!$B$9,MAX(0,IFERROR(N(IF(ISNUMBER(Charges!N164),MAX(0,Charges!N164),IFERROR(VLOOKUP(Charges!N164,Paramètres!$A$15:$B$18,2,FALSE),0))),0)),0)</f>
        <v>0</v>
      </c>
      <c r="N164" t="n">
        <f>IF(10&lt;=Paramètres!$B$9,MAX(0,IFERROR(N(IF(ISNUMBER(Charges!O164),MAX(0,Charges!O164),IFERROR(VLOOKUP(Charges!O164,Paramètres!$A$15:$B$18,2,FALSE),0))),0)),0)</f>
        <v>0</v>
      </c>
      <c r="O164" t="n">
        <f>IF(11&lt;=Paramètres!$B$9,MAX(0,IFERROR(N(IF(ISNUMBER(Charges!P164),MAX(0,Charges!P164),IFERROR(VLOOKUP(Charges!P164,Paramètres!$A$15:$B$18,2,FALSE),0))),0)),0)</f>
        <v>0</v>
      </c>
      <c r="P164" t="n">
        <f>IF(12&lt;=Paramètres!$B$9,MAX(0,IFERROR(N(IF(ISNUMBER(Charges!Q164),MAX(0,Charges!Q164),IFERROR(VLOOKUP(Charges!Q164,Paramètres!$A$15:$B$18,2,FALSE),0))),0)),0)</f>
        <v>0</v>
      </c>
      <c r="Q164" t="n">
        <f>IF(13&lt;=Paramètres!$B$9,MAX(0,IFERROR(N(IF(ISNUMBER(Charges!R164),MAX(0,Charges!R164),IFERROR(VLOOKUP(Charges!R164,Paramètres!$A$15:$B$18,2,FALSE),0))),0)),0)</f>
        <v>0</v>
      </c>
      <c r="R164" t="n">
        <f>SUM(E164:Q164)</f>
        <v>0</v>
      </c>
      <c r="S164" t="n">
        <f>IF(IFERROR(VLOOKUP(A164,'Projets'!$A$8:$Z$67,7,FALSE),"")="Engager",1,0)</f>
        <v>0</v>
      </c>
      <c r="T164" t="n">
        <f>IF(OR(Charges!F164="",AND(ISNUMBER(Charges!F164),Charges!F164&gt;=0),Charges!F164="S",Charges!F164="M",Charges!F164="L",Charges!F164="XL"),0,1)+IF(OR(Charges!G164="",AND(ISNUMBER(Charges!G164),Charges!G164&gt;=0),Charges!G164="S",Charges!G164="M",Charges!G164="L",Charges!G164="XL"),0,1)+IF(OR(Charges!H164="",AND(ISNUMBER(Charges!H164),Charges!H164&gt;=0),Charges!H164="S",Charges!H164="M",Charges!H164="L",Charges!H164="XL"),0,1)+IF(OR(Charges!I164="",AND(ISNUMBER(Charges!I164),Charges!I164&gt;=0),Charges!I164="S",Charges!I164="M",Charges!I164="L",Charges!I164="XL"),0,1)+IF(OR(Charges!J164="",AND(ISNUMBER(Charges!J164),Charges!J164&gt;=0),Charges!J164="S",Charges!J164="M",Charges!J164="L",Charges!J164="XL"),0,1)+IF(OR(Charges!K164="",AND(ISNUMBER(Charges!K164),Charges!K164&gt;=0),Charges!K164="S",Charges!K164="M",Charges!K164="L",Charges!K164="XL"),0,1)+IF(OR(Charges!L164="",AND(ISNUMBER(Charges!L164),Charges!L164&gt;=0),Charges!L164="S",Charges!L164="M",Charges!L164="L",Charges!L164="XL"),0,1)+IF(OR(Charges!M164="",AND(ISNUMBER(Charges!M164),Charges!M164&gt;=0),Charges!M164="S",Charges!M164="M",Charges!M164="L",Charges!M164="XL"),0,1)+IF(OR(Charges!N164="",AND(ISNUMBER(Charges!N164),Charges!N164&gt;=0),Charges!N164="S",Charges!N164="M",Charges!N164="L",Charges!N164="XL"),0,1)+IF(OR(Charges!O164="",AND(ISNUMBER(Charges!O164),Charges!O164&gt;=0),Charges!O164="S",Charges!O164="M",Charges!O164="L",Charges!O164="XL"),0,1)+IF(OR(Charges!P164="",AND(ISNUMBER(Charges!P164),Charges!P164&gt;=0),Charges!P164="S",Charges!P164="M",Charges!P164="L",Charges!P164="XL"),0,1)+IF(OR(Charges!Q164="",AND(ISNUMBER(Charges!Q164),Charges!Q164&gt;=0),Charges!Q164="S",Charges!Q164="M",Charges!Q164="L",Charges!Q164="XL"),0,1)+IF(OR(Charges!R164="",AND(ISNUMBER(Charges!R164),Charges!R164&gt;=0),Charges!R164="S",Charges!R164="M",Charges!R164="L",Charges!R164="XL"),0,1)</f>
        <v>0</v>
      </c>
      <c r="U164" t="n">
        <f>IF(AND(1&gt;Paramètres!$B$9,Charges!F164&lt;&gt;"",Charges!F164&lt;&gt;0),1,0)+IF(AND(2&gt;Paramètres!$B$9,Charges!G164&lt;&gt;"",Charges!G164&lt;&gt;0),1,0)+IF(AND(3&gt;Paramètres!$B$9,Charges!H164&lt;&gt;"",Charges!H164&lt;&gt;0),1,0)+IF(AND(4&gt;Paramètres!$B$9,Charges!I164&lt;&gt;"",Charges!I164&lt;&gt;0),1,0)+IF(AND(5&gt;Paramètres!$B$9,Charges!J164&lt;&gt;"",Charges!J164&lt;&gt;0),1,0)+IF(AND(6&gt;Paramètres!$B$9,Charges!K164&lt;&gt;"",Charges!K164&lt;&gt;0),1,0)+IF(AND(7&gt;Paramètres!$B$9,Charges!L164&lt;&gt;"",Charges!L164&lt;&gt;0),1,0)+IF(AND(8&gt;Paramètres!$B$9,Charges!M164&lt;&gt;"",Charges!M164&lt;&gt;0),1,0)+IF(AND(9&gt;Paramètres!$B$9,Charges!N164&lt;&gt;"",Charges!N164&lt;&gt;0),1,0)+IF(AND(10&gt;Paramètres!$B$9,Charges!O164&lt;&gt;"",Charges!O164&lt;&gt;0),1,0)+IF(AND(11&gt;Paramètres!$B$9,Charges!P164&lt;&gt;"",Charges!P164&lt;&gt;0),1,0)+IF(AND(12&gt;Paramètres!$B$9,Charges!Q164&lt;&gt;"",Charges!Q164&lt;&gt;0),1,0)+IF(AND(13&gt;Paramètres!$B$9,Charges!R164&lt;&gt;"",Charges!R164&lt;&gt;0),1,0)</f>
        <v>0</v>
      </c>
      <c r="V164" t="n">
        <f>IF(IFERROR(VLOOKUP(A164,'Projets'!$A$8:$Z$67,5,FALSE),"")="Engager",1,0)</f>
        <v>0</v>
      </c>
      <c r="W164" t="n">
        <f>IF(IFERROR(VLOOKUP(A164,'Projets'!$A$8:$Z$67,6,FALSE),"")="Engager",1,0)</f>
        <v>0</v>
      </c>
      <c r="X164" t="n">
        <f>E164*S164</f>
        <v>0</v>
      </c>
      <c r="Y164" t="n">
        <f>F164*S164</f>
        <v>0</v>
      </c>
      <c r="Z164" t="n">
        <f>G164*S164</f>
        <v>0</v>
      </c>
      <c r="AA164" t="n">
        <f>H164*S164</f>
        <v>0</v>
      </c>
      <c r="AB164" t="n">
        <f>I164*S164</f>
        <v>0</v>
      </c>
      <c r="AC164" t="n">
        <f>J164*S164</f>
        <v>0</v>
      </c>
      <c r="AD164" t="n">
        <f>K164*S164</f>
        <v>0</v>
      </c>
      <c r="AE164" t="n">
        <f>L164*S164</f>
        <v>0</v>
      </c>
      <c r="AF164" t="n">
        <f>M164*S164</f>
        <v>0</v>
      </c>
      <c r="AG164" t="n">
        <f>N164*S164</f>
        <v>0</v>
      </c>
      <c r="AH164" t="n">
        <f>O164*S164</f>
        <v>0</v>
      </c>
      <c r="AI164" t="n">
        <f>P164*S164</f>
        <v>0</v>
      </c>
      <c r="AJ164" t="n">
        <f>Q164*S164</f>
        <v>0</v>
      </c>
      <c r="AK164" t="n">
        <f>E164*V164</f>
        <v>0</v>
      </c>
      <c r="AL164" t="n">
        <f>F164*V164</f>
        <v>0</v>
      </c>
      <c r="AM164" t="n">
        <f>G164*V164</f>
        <v>0</v>
      </c>
      <c r="AN164" t="n">
        <f>H164*V164</f>
        <v>0</v>
      </c>
      <c r="AO164" t="n">
        <f>I164*V164</f>
        <v>0</v>
      </c>
      <c r="AP164" t="n">
        <f>J164*V164</f>
        <v>0</v>
      </c>
      <c r="AQ164" t="n">
        <f>K164*V164</f>
        <v>0</v>
      </c>
      <c r="AR164" t="n">
        <f>L164*V164</f>
        <v>0</v>
      </c>
      <c r="AS164" t="n">
        <f>M164*V164</f>
        <v>0</v>
      </c>
      <c r="AT164" t="n">
        <f>N164*V164</f>
        <v>0</v>
      </c>
      <c r="AU164" t="n">
        <f>O164*V164</f>
        <v>0</v>
      </c>
      <c r="AV164" t="n">
        <f>P164*V164</f>
        <v>0</v>
      </c>
      <c r="AW164" t="n">
        <f>Q164*V164</f>
        <v>0</v>
      </c>
      <c r="AX164" t="n">
        <f>E164*W164</f>
        <v>0</v>
      </c>
      <c r="AY164" t="n">
        <f>F164*W164</f>
        <v>0</v>
      </c>
      <c r="AZ164" t="n">
        <f>G164*W164</f>
        <v>0</v>
      </c>
      <c r="BA164" t="n">
        <f>H164*W164</f>
        <v>0</v>
      </c>
      <c r="BB164" t="n">
        <f>I164*W164</f>
        <v>0</v>
      </c>
      <c r="BC164" t="n">
        <f>J164*W164</f>
        <v>0</v>
      </c>
      <c r="BD164" t="n">
        <f>K164*W164</f>
        <v>0</v>
      </c>
      <c r="BE164" t="n">
        <f>L164*W164</f>
        <v>0</v>
      </c>
      <c r="BF164" t="n">
        <f>M164*W164</f>
        <v>0</v>
      </c>
      <c r="BG164" t="n">
        <f>N164*W164</f>
        <v>0</v>
      </c>
      <c r="BH164" t="n">
        <f>O164*W164</f>
        <v>0</v>
      </c>
      <c r="BI164" t="n">
        <f>P164*W164</f>
        <v>0</v>
      </c>
      <c r="BJ164" t="n">
        <f>Q164*W164</f>
        <v>0</v>
      </c>
    </row>
    <row r="165">
      <c r="A165" t="n">
        <f>Charges!A165</f>
        <v>0</v>
      </c>
      <c r="B165" t="n">
        <f>Charges!C165</f>
        <v>0</v>
      </c>
      <c r="C165" t="str">
        <f>Charges!D165</f>
        <v/>
      </c>
      <c r="E165" t="n">
        <f>IF(1&lt;=Paramètres!$B$9,MAX(0,IFERROR(N(IF(ISNUMBER(Charges!F165),MAX(0,Charges!F165),IFERROR(VLOOKUP(Charges!F165,Paramètres!$A$15:$B$18,2,FALSE),0))),0)),0)</f>
        <v>0</v>
      </c>
      <c r="F165" t="n">
        <f>IF(2&lt;=Paramètres!$B$9,MAX(0,IFERROR(N(IF(ISNUMBER(Charges!G165),MAX(0,Charges!G165),IFERROR(VLOOKUP(Charges!G165,Paramètres!$A$15:$B$18,2,FALSE),0))),0)),0)</f>
        <v>0</v>
      </c>
      <c r="G165" t="n">
        <f>IF(3&lt;=Paramètres!$B$9,MAX(0,IFERROR(N(IF(ISNUMBER(Charges!H165),MAX(0,Charges!H165),IFERROR(VLOOKUP(Charges!H165,Paramètres!$A$15:$B$18,2,FALSE),0))),0)),0)</f>
        <v>0</v>
      </c>
      <c r="H165" t="n">
        <f>IF(4&lt;=Paramètres!$B$9,MAX(0,IFERROR(N(IF(ISNUMBER(Charges!I165),MAX(0,Charges!I165),IFERROR(VLOOKUP(Charges!I165,Paramètres!$A$15:$B$18,2,FALSE),0))),0)),0)</f>
        <v>0</v>
      </c>
      <c r="I165" t="n">
        <f>IF(5&lt;=Paramètres!$B$9,MAX(0,IFERROR(N(IF(ISNUMBER(Charges!J165),MAX(0,Charges!J165),IFERROR(VLOOKUP(Charges!J165,Paramètres!$A$15:$B$18,2,FALSE),0))),0)),0)</f>
        <v>0</v>
      </c>
      <c r="J165" t="n">
        <f>IF(6&lt;=Paramètres!$B$9,MAX(0,IFERROR(N(IF(ISNUMBER(Charges!K165),MAX(0,Charges!K165),IFERROR(VLOOKUP(Charges!K165,Paramètres!$A$15:$B$18,2,FALSE),0))),0)),0)</f>
        <v>0</v>
      </c>
      <c r="K165" t="n">
        <f>IF(7&lt;=Paramètres!$B$9,MAX(0,IFERROR(N(IF(ISNUMBER(Charges!L165),MAX(0,Charges!L165),IFERROR(VLOOKUP(Charges!L165,Paramètres!$A$15:$B$18,2,FALSE),0))),0)),0)</f>
        <v>0</v>
      </c>
      <c r="L165" t="n">
        <f>IF(8&lt;=Paramètres!$B$9,MAX(0,IFERROR(N(IF(ISNUMBER(Charges!M165),MAX(0,Charges!M165),IFERROR(VLOOKUP(Charges!M165,Paramètres!$A$15:$B$18,2,FALSE),0))),0)),0)</f>
        <v>0</v>
      </c>
      <c r="M165" t="n">
        <f>IF(9&lt;=Paramètres!$B$9,MAX(0,IFERROR(N(IF(ISNUMBER(Charges!N165),MAX(0,Charges!N165),IFERROR(VLOOKUP(Charges!N165,Paramètres!$A$15:$B$18,2,FALSE),0))),0)),0)</f>
        <v>0</v>
      </c>
      <c r="N165" t="n">
        <f>IF(10&lt;=Paramètres!$B$9,MAX(0,IFERROR(N(IF(ISNUMBER(Charges!O165),MAX(0,Charges!O165),IFERROR(VLOOKUP(Charges!O165,Paramètres!$A$15:$B$18,2,FALSE),0))),0)),0)</f>
        <v>0</v>
      </c>
      <c r="O165" t="n">
        <f>IF(11&lt;=Paramètres!$B$9,MAX(0,IFERROR(N(IF(ISNUMBER(Charges!P165),MAX(0,Charges!P165),IFERROR(VLOOKUP(Charges!P165,Paramètres!$A$15:$B$18,2,FALSE),0))),0)),0)</f>
        <v>0</v>
      </c>
      <c r="P165" t="n">
        <f>IF(12&lt;=Paramètres!$B$9,MAX(0,IFERROR(N(IF(ISNUMBER(Charges!Q165),MAX(0,Charges!Q165),IFERROR(VLOOKUP(Charges!Q165,Paramètres!$A$15:$B$18,2,FALSE),0))),0)),0)</f>
        <v>0</v>
      </c>
      <c r="Q165" t="n">
        <f>IF(13&lt;=Paramètres!$B$9,MAX(0,IFERROR(N(IF(ISNUMBER(Charges!R165),MAX(0,Charges!R165),IFERROR(VLOOKUP(Charges!R165,Paramètres!$A$15:$B$18,2,FALSE),0))),0)),0)</f>
        <v>0</v>
      </c>
      <c r="R165" t="n">
        <f>SUM(E165:Q165)</f>
        <v>0</v>
      </c>
      <c r="S165" t="n">
        <f>IF(IFERROR(VLOOKUP(A165,'Projets'!$A$8:$Z$67,7,FALSE),"")="Engager",1,0)</f>
        <v>0</v>
      </c>
      <c r="T165" t="n">
        <f>IF(OR(Charges!F165="",AND(ISNUMBER(Charges!F165),Charges!F165&gt;=0),Charges!F165="S",Charges!F165="M",Charges!F165="L",Charges!F165="XL"),0,1)+IF(OR(Charges!G165="",AND(ISNUMBER(Charges!G165),Charges!G165&gt;=0),Charges!G165="S",Charges!G165="M",Charges!G165="L",Charges!G165="XL"),0,1)+IF(OR(Charges!H165="",AND(ISNUMBER(Charges!H165),Charges!H165&gt;=0),Charges!H165="S",Charges!H165="M",Charges!H165="L",Charges!H165="XL"),0,1)+IF(OR(Charges!I165="",AND(ISNUMBER(Charges!I165),Charges!I165&gt;=0),Charges!I165="S",Charges!I165="M",Charges!I165="L",Charges!I165="XL"),0,1)+IF(OR(Charges!J165="",AND(ISNUMBER(Charges!J165),Charges!J165&gt;=0),Charges!J165="S",Charges!J165="M",Charges!J165="L",Charges!J165="XL"),0,1)+IF(OR(Charges!K165="",AND(ISNUMBER(Charges!K165),Charges!K165&gt;=0),Charges!K165="S",Charges!K165="M",Charges!K165="L",Charges!K165="XL"),0,1)+IF(OR(Charges!L165="",AND(ISNUMBER(Charges!L165),Charges!L165&gt;=0),Charges!L165="S",Charges!L165="M",Charges!L165="L",Charges!L165="XL"),0,1)+IF(OR(Charges!M165="",AND(ISNUMBER(Charges!M165),Charges!M165&gt;=0),Charges!M165="S",Charges!M165="M",Charges!M165="L",Charges!M165="XL"),0,1)+IF(OR(Charges!N165="",AND(ISNUMBER(Charges!N165),Charges!N165&gt;=0),Charges!N165="S",Charges!N165="M",Charges!N165="L",Charges!N165="XL"),0,1)+IF(OR(Charges!O165="",AND(ISNUMBER(Charges!O165),Charges!O165&gt;=0),Charges!O165="S",Charges!O165="M",Charges!O165="L",Charges!O165="XL"),0,1)+IF(OR(Charges!P165="",AND(ISNUMBER(Charges!P165),Charges!P165&gt;=0),Charges!P165="S",Charges!P165="M",Charges!P165="L",Charges!P165="XL"),0,1)+IF(OR(Charges!Q165="",AND(ISNUMBER(Charges!Q165),Charges!Q165&gt;=0),Charges!Q165="S",Charges!Q165="M",Charges!Q165="L",Charges!Q165="XL"),0,1)+IF(OR(Charges!R165="",AND(ISNUMBER(Charges!R165),Charges!R165&gt;=0),Charges!R165="S",Charges!R165="M",Charges!R165="L",Charges!R165="XL"),0,1)</f>
        <v>0</v>
      </c>
      <c r="U165" t="n">
        <f>IF(AND(1&gt;Paramètres!$B$9,Charges!F165&lt;&gt;"",Charges!F165&lt;&gt;0),1,0)+IF(AND(2&gt;Paramètres!$B$9,Charges!G165&lt;&gt;"",Charges!G165&lt;&gt;0),1,0)+IF(AND(3&gt;Paramètres!$B$9,Charges!H165&lt;&gt;"",Charges!H165&lt;&gt;0),1,0)+IF(AND(4&gt;Paramètres!$B$9,Charges!I165&lt;&gt;"",Charges!I165&lt;&gt;0),1,0)+IF(AND(5&gt;Paramètres!$B$9,Charges!J165&lt;&gt;"",Charges!J165&lt;&gt;0),1,0)+IF(AND(6&gt;Paramètres!$B$9,Charges!K165&lt;&gt;"",Charges!K165&lt;&gt;0),1,0)+IF(AND(7&gt;Paramètres!$B$9,Charges!L165&lt;&gt;"",Charges!L165&lt;&gt;0),1,0)+IF(AND(8&gt;Paramètres!$B$9,Charges!M165&lt;&gt;"",Charges!M165&lt;&gt;0),1,0)+IF(AND(9&gt;Paramètres!$B$9,Charges!N165&lt;&gt;"",Charges!N165&lt;&gt;0),1,0)+IF(AND(10&gt;Paramètres!$B$9,Charges!O165&lt;&gt;"",Charges!O165&lt;&gt;0),1,0)+IF(AND(11&gt;Paramètres!$B$9,Charges!P165&lt;&gt;"",Charges!P165&lt;&gt;0),1,0)+IF(AND(12&gt;Paramètres!$B$9,Charges!Q165&lt;&gt;"",Charges!Q165&lt;&gt;0),1,0)+IF(AND(13&gt;Paramètres!$B$9,Charges!R165&lt;&gt;"",Charges!R165&lt;&gt;0),1,0)</f>
        <v>0</v>
      </c>
      <c r="V165" t="n">
        <f>IF(IFERROR(VLOOKUP(A165,'Projets'!$A$8:$Z$67,5,FALSE),"")="Engager",1,0)</f>
        <v>0</v>
      </c>
      <c r="W165" t="n">
        <f>IF(IFERROR(VLOOKUP(A165,'Projets'!$A$8:$Z$67,6,FALSE),"")="Engager",1,0)</f>
        <v>0</v>
      </c>
      <c r="X165" t="n">
        <f>E165*S165</f>
        <v>0</v>
      </c>
      <c r="Y165" t="n">
        <f>F165*S165</f>
        <v>0</v>
      </c>
      <c r="Z165" t="n">
        <f>G165*S165</f>
        <v>0</v>
      </c>
      <c r="AA165" t="n">
        <f>H165*S165</f>
        <v>0</v>
      </c>
      <c r="AB165" t="n">
        <f>I165*S165</f>
        <v>0</v>
      </c>
      <c r="AC165" t="n">
        <f>J165*S165</f>
        <v>0</v>
      </c>
      <c r="AD165" t="n">
        <f>K165*S165</f>
        <v>0</v>
      </c>
      <c r="AE165" t="n">
        <f>L165*S165</f>
        <v>0</v>
      </c>
      <c r="AF165" t="n">
        <f>M165*S165</f>
        <v>0</v>
      </c>
      <c r="AG165" t="n">
        <f>N165*S165</f>
        <v>0</v>
      </c>
      <c r="AH165" t="n">
        <f>O165*S165</f>
        <v>0</v>
      </c>
      <c r="AI165" t="n">
        <f>P165*S165</f>
        <v>0</v>
      </c>
      <c r="AJ165" t="n">
        <f>Q165*S165</f>
        <v>0</v>
      </c>
      <c r="AK165" t="n">
        <f>E165*V165</f>
        <v>0</v>
      </c>
      <c r="AL165" t="n">
        <f>F165*V165</f>
        <v>0</v>
      </c>
      <c r="AM165" t="n">
        <f>G165*V165</f>
        <v>0</v>
      </c>
      <c r="AN165" t="n">
        <f>H165*V165</f>
        <v>0</v>
      </c>
      <c r="AO165" t="n">
        <f>I165*V165</f>
        <v>0</v>
      </c>
      <c r="AP165" t="n">
        <f>J165*V165</f>
        <v>0</v>
      </c>
      <c r="AQ165" t="n">
        <f>K165*V165</f>
        <v>0</v>
      </c>
      <c r="AR165" t="n">
        <f>L165*V165</f>
        <v>0</v>
      </c>
      <c r="AS165" t="n">
        <f>M165*V165</f>
        <v>0</v>
      </c>
      <c r="AT165" t="n">
        <f>N165*V165</f>
        <v>0</v>
      </c>
      <c r="AU165" t="n">
        <f>O165*V165</f>
        <v>0</v>
      </c>
      <c r="AV165" t="n">
        <f>P165*V165</f>
        <v>0</v>
      </c>
      <c r="AW165" t="n">
        <f>Q165*V165</f>
        <v>0</v>
      </c>
      <c r="AX165" t="n">
        <f>E165*W165</f>
        <v>0</v>
      </c>
      <c r="AY165" t="n">
        <f>F165*W165</f>
        <v>0</v>
      </c>
      <c r="AZ165" t="n">
        <f>G165*W165</f>
        <v>0</v>
      </c>
      <c r="BA165" t="n">
        <f>H165*W165</f>
        <v>0</v>
      </c>
      <c r="BB165" t="n">
        <f>I165*W165</f>
        <v>0</v>
      </c>
      <c r="BC165" t="n">
        <f>J165*W165</f>
        <v>0</v>
      </c>
      <c r="BD165" t="n">
        <f>K165*W165</f>
        <v>0</v>
      </c>
      <c r="BE165" t="n">
        <f>L165*W165</f>
        <v>0</v>
      </c>
      <c r="BF165" t="n">
        <f>M165*W165</f>
        <v>0</v>
      </c>
      <c r="BG165" t="n">
        <f>N165*W165</f>
        <v>0</v>
      </c>
      <c r="BH165" t="n">
        <f>O165*W165</f>
        <v>0</v>
      </c>
      <c r="BI165" t="n">
        <f>P165*W165</f>
        <v>0</v>
      </c>
      <c r="BJ165" t="n">
        <f>Q165*W165</f>
        <v>0</v>
      </c>
    </row>
    <row r="166">
      <c r="A166" t="n">
        <f>Charges!A166</f>
        <v>0</v>
      </c>
      <c r="B166" t="n">
        <f>Charges!C166</f>
        <v>0</v>
      </c>
      <c r="C166" t="str">
        <f>Charges!D166</f>
        <v/>
      </c>
      <c r="E166" t="n">
        <f>IF(1&lt;=Paramètres!$B$9,MAX(0,IFERROR(N(IF(ISNUMBER(Charges!F166),MAX(0,Charges!F166),IFERROR(VLOOKUP(Charges!F166,Paramètres!$A$15:$B$18,2,FALSE),0))),0)),0)</f>
        <v>0</v>
      </c>
      <c r="F166" t="n">
        <f>IF(2&lt;=Paramètres!$B$9,MAX(0,IFERROR(N(IF(ISNUMBER(Charges!G166),MAX(0,Charges!G166),IFERROR(VLOOKUP(Charges!G166,Paramètres!$A$15:$B$18,2,FALSE),0))),0)),0)</f>
        <v>0</v>
      </c>
      <c r="G166" t="n">
        <f>IF(3&lt;=Paramètres!$B$9,MAX(0,IFERROR(N(IF(ISNUMBER(Charges!H166),MAX(0,Charges!H166),IFERROR(VLOOKUP(Charges!H166,Paramètres!$A$15:$B$18,2,FALSE),0))),0)),0)</f>
        <v>0</v>
      </c>
      <c r="H166" t="n">
        <f>IF(4&lt;=Paramètres!$B$9,MAX(0,IFERROR(N(IF(ISNUMBER(Charges!I166),MAX(0,Charges!I166),IFERROR(VLOOKUP(Charges!I166,Paramètres!$A$15:$B$18,2,FALSE),0))),0)),0)</f>
        <v>0</v>
      </c>
      <c r="I166" t="n">
        <f>IF(5&lt;=Paramètres!$B$9,MAX(0,IFERROR(N(IF(ISNUMBER(Charges!J166),MAX(0,Charges!J166),IFERROR(VLOOKUP(Charges!J166,Paramètres!$A$15:$B$18,2,FALSE),0))),0)),0)</f>
        <v>0</v>
      </c>
      <c r="J166" t="n">
        <f>IF(6&lt;=Paramètres!$B$9,MAX(0,IFERROR(N(IF(ISNUMBER(Charges!K166),MAX(0,Charges!K166),IFERROR(VLOOKUP(Charges!K166,Paramètres!$A$15:$B$18,2,FALSE),0))),0)),0)</f>
        <v>0</v>
      </c>
      <c r="K166" t="n">
        <f>IF(7&lt;=Paramètres!$B$9,MAX(0,IFERROR(N(IF(ISNUMBER(Charges!L166),MAX(0,Charges!L166),IFERROR(VLOOKUP(Charges!L166,Paramètres!$A$15:$B$18,2,FALSE),0))),0)),0)</f>
        <v>0</v>
      </c>
      <c r="L166" t="n">
        <f>IF(8&lt;=Paramètres!$B$9,MAX(0,IFERROR(N(IF(ISNUMBER(Charges!M166),MAX(0,Charges!M166),IFERROR(VLOOKUP(Charges!M166,Paramètres!$A$15:$B$18,2,FALSE),0))),0)),0)</f>
        <v>0</v>
      </c>
      <c r="M166" t="n">
        <f>IF(9&lt;=Paramètres!$B$9,MAX(0,IFERROR(N(IF(ISNUMBER(Charges!N166),MAX(0,Charges!N166),IFERROR(VLOOKUP(Charges!N166,Paramètres!$A$15:$B$18,2,FALSE),0))),0)),0)</f>
        <v>0</v>
      </c>
      <c r="N166" t="n">
        <f>IF(10&lt;=Paramètres!$B$9,MAX(0,IFERROR(N(IF(ISNUMBER(Charges!O166),MAX(0,Charges!O166),IFERROR(VLOOKUP(Charges!O166,Paramètres!$A$15:$B$18,2,FALSE),0))),0)),0)</f>
        <v>0</v>
      </c>
      <c r="O166" t="n">
        <f>IF(11&lt;=Paramètres!$B$9,MAX(0,IFERROR(N(IF(ISNUMBER(Charges!P166),MAX(0,Charges!P166),IFERROR(VLOOKUP(Charges!P166,Paramètres!$A$15:$B$18,2,FALSE),0))),0)),0)</f>
        <v>0</v>
      </c>
      <c r="P166" t="n">
        <f>IF(12&lt;=Paramètres!$B$9,MAX(0,IFERROR(N(IF(ISNUMBER(Charges!Q166),MAX(0,Charges!Q166),IFERROR(VLOOKUP(Charges!Q166,Paramètres!$A$15:$B$18,2,FALSE),0))),0)),0)</f>
        <v>0</v>
      </c>
      <c r="Q166" t="n">
        <f>IF(13&lt;=Paramètres!$B$9,MAX(0,IFERROR(N(IF(ISNUMBER(Charges!R166),MAX(0,Charges!R166),IFERROR(VLOOKUP(Charges!R166,Paramètres!$A$15:$B$18,2,FALSE),0))),0)),0)</f>
        <v>0</v>
      </c>
      <c r="R166" t="n">
        <f>SUM(E166:Q166)</f>
        <v>0</v>
      </c>
      <c r="S166" t="n">
        <f>IF(IFERROR(VLOOKUP(A166,'Projets'!$A$8:$Z$67,7,FALSE),"")="Engager",1,0)</f>
        <v>0</v>
      </c>
      <c r="T166" t="n">
        <f>IF(OR(Charges!F166="",AND(ISNUMBER(Charges!F166),Charges!F166&gt;=0),Charges!F166="S",Charges!F166="M",Charges!F166="L",Charges!F166="XL"),0,1)+IF(OR(Charges!G166="",AND(ISNUMBER(Charges!G166),Charges!G166&gt;=0),Charges!G166="S",Charges!G166="M",Charges!G166="L",Charges!G166="XL"),0,1)+IF(OR(Charges!H166="",AND(ISNUMBER(Charges!H166),Charges!H166&gt;=0),Charges!H166="S",Charges!H166="M",Charges!H166="L",Charges!H166="XL"),0,1)+IF(OR(Charges!I166="",AND(ISNUMBER(Charges!I166),Charges!I166&gt;=0),Charges!I166="S",Charges!I166="M",Charges!I166="L",Charges!I166="XL"),0,1)+IF(OR(Charges!J166="",AND(ISNUMBER(Charges!J166),Charges!J166&gt;=0),Charges!J166="S",Charges!J166="M",Charges!J166="L",Charges!J166="XL"),0,1)+IF(OR(Charges!K166="",AND(ISNUMBER(Charges!K166),Charges!K166&gt;=0),Charges!K166="S",Charges!K166="M",Charges!K166="L",Charges!K166="XL"),0,1)+IF(OR(Charges!L166="",AND(ISNUMBER(Charges!L166),Charges!L166&gt;=0),Charges!L166="S",Charges!L166="M",Charges!L166="L",Charges!L166="XL"),0,1)+IF(OR(Charges!M166="",AND(ISNUMBER(Charges!M166),Charges!M166&gt;=0),Charges!M166="S",Charges!M166="M",Charges!M166="L",Charges!M166="XL"),0,1)+IF(OR(Charges!N166="",AND(ISNUMBER(Charges!N166),Charges!N166&gt;=0),Charges!N166="S",Charges!N166="M",Charges!N166="L",Charges!N166="XL"),0,1)+IF(OR(Charges!O166="",AND(ISNUMBER(Charges!O166),Charges!O166&gt;=0),Charges!O166="S",Charges!O166="M",Charges!O166="L",Charges!O166="XL"),0,1)+IF(OR(Charges!P166="",AND(ISNUMBER(Charges!P166),Charges!P166&gt;=0),Charges!P166="S",Charges!P166="M",Charges!P166="L",Charges!P166="XL"),0,1)+IF(OR(Charges!Q166="",AND(ISNUMBER(Charges!Q166),Charges!Q166&gt;=0),Charges!Q166="S",Charges!Q166="M",Charges!Q166="L",Charges!Q166="XL"),0,1)+IF(OR(Charges!R166="",AND(ISNUMBER(Charges!R166),Charges!R166&gt;=0),Charges!R166="S",Charges!R166="M",Charges!R166="L",Charges!R166="XL"),0,1)</f>
        <v>0</v>
      </c>
      <c r="U166" t="n">
        <f>IF(AND(1&gt;Paramètres!$B$9,Charges!F166&lt;&gt;"",Charges!F166&lt;&gt;0),1,0)+IF(AND(2&gt;Paramètres!$B$9,Charges!G166&lt;&gt;"",Charges!G166&lt;&gt;0),1,0)+IF(AND(3&gt;Paramètres!$B$9,Charges!H166&lt;&gt;"",Charges!H166&lt;&gt;0),1,0)+IF(AND(4&gt;Paramètres!$B$9,Charges!I166&lt;&gt;"",Charges!I166&lt;&gt;0),1,0)+IF(AND(5&gt;Paramètres!$B$9,Charges!J166&lt;&gt;"",Charges!J166&lt;&gt;0),1,0)+IF(AND(6&gt;Paramètres!$B$9,Charges!K166&lt;&gt;"",Charges!K166&lt;&gt;0),1,0)+IF(AND(7&gt;Paramètres!$B$9,Charges!L166&lt;&gt;"",Charges!L166&lt;&gt;0),1,0)+IF(AND(8&gt;Paramètres!$B$9,Charges!M166&lt;&gt;"",Charges!M166&lt;&gt;0),1,0)+IF(AND(9&gt;Paramètres!$B$9,Charges!N166&lt;&gt;"",Charges!N166&lt;&gt;0),1,0)+IF(AND(10&gt;Paramètres!$B$9,Charges!O166&lt;&gt;"",Charges!O166&lt;&gt;0),1,0)+IF(AND(11&gt;Paramètres!$B$9,Charges!P166&lt;&gt;"",Charges!P166&lt;&gt;0),1,0)+IF(AND(12&gt;Paramètres!$B$9,Charges!Q166&lt;&gt;"",Charges!Q166&lt;&gt;0),1,0)+IF(AND(13&gt;Paramètres!$B$9,Charges!R166&lt;&gt;"",Charges!R166&lt;&gt;0),1,0)</f>
        <v>0</v>
      </c>
      <c r="V166" t="n">
        <f>IF(IFERROR(VLOOKUP(A166,'Projets'!$A$8:$Z$67,5,FALSE),"")="Engager",1,0)</f>
        <v>0</v>
      </c>
      <c r="W166" t="n">
        <f>IF(IFERROR(VLOOKUP(A166,'Projets'!$A$8:$Z$67,6,FALSE),"")="Engager",1,0)</f>
        <v>0</v>
      </c>
      <c r="X166" t="n">
        <f>E166*S166</f>
        <v>0</v>
      </c>
      <c r="Y166" t="n">
        <f>F166*S166</f>
        <v>0</v>
      </c>
      <c r="Z166" t="n">
        <f>G166*S166</f>
        <v>0</v>
      </c>
      <c r="AA166" t="n">
        <f>H166*S166</f>
        <v>0</v>
      </c>
      <c r="AB166" t="n">
        <f>I166*S166</f>
        <v>0</v>
      </c>
      <c r="AC166" t="n">
        <f>J166*S166</f>
        <v>0</v>
      </c>
      <c r="AD166" t="n">
        <f>K166*S166</f>
        <v>0</v>
      </c>
      <c r="AE166" t="n">
        <f>L166*S166</f>
        <v>0</v>
      </c>
      <c r="AF166" t="n">
        <f>M166*S166</f>
        <v>0</v>
      </c>
      <c r="AG166" t="n">
        <f>N166*S166</f>
        <v>0</v>
      </c>
      <c r="AH166" t="n">
        <f>O166*S166</f>
        <v>0</v>
      </c>
      <c r="AI166" t="n">
        <f>P166*S166</f>
        <v>0</v>
      </c>
      <c r="AJ166" t="n">
        <f>Q166*S166</f>
        <v>0</v>
      </c>
      <c r="AK166" t="n">
        <f>E166*V166</f>
        <v>0</v>
      </c>
      <c r="AL166" t="n">
        <f>F166*V166</f>
        <v>0</v>
      </c>
      <c r="AM166" t="n">
        <f>G166*V166</f>
        <v>0</v>
      </c>
      <c r="AN166" t="n">
        <f>H166*V166</f>
        <v>0</v>
      </c>
      <c r="AO166" t="n">
        <f>I166*V166</f>
        <v>0</v>
      </c>
      <c r="AP166" t="n">
        <f>J166*V166</f>
        <v>0</v>
      </c>
      <c r="AQ166" t="n">
        <f>K166*V166</f>
        <v>0</v>
      </c>
      <c r="AR166" t="n">
        <f>L166*V166</f>
        <v>0</v>
      </c>
      <c r="AS166" t="n">
        <f>M166*V166</f>
        <v>0</v>
      </c>
      <c r="AT166" t="n">
        <f>N166*V166</f>
        <v>0</v>
      </c>
      <c r="AU166" t="n">
        <f>O166*V166</f>
        <v>0</v>
      </c>
      <c r="AV166" t="n">
        <f>P166*V166</f>
        <v>0</v>
      </c>
      <c r="AW166" t="n">
        <f>Q166*V166</f>
        <v>0</v>
      </c>
      <c r="AX166" t="n">
        <f>E166*W166</f>
        <v>0</v>
      </c>
      <c r="AY166" t="n">
        <f>F166*W166</f>
        <v>0</v>
      </c>
      <c r="AZ166" t="n">
        <f>G166*W166</f>
        <v>0</v>
      </c>
      <c r="BA166" t="n">
        <f>H166*W166</f>
        <v>0</v>
      </c>
      <c r="BB166" t="n">
        <f>I166*W166</f>
        <v>0</v>
      </c>
      <c r="BC166" t="n">
        <f>J166*W166</f>
        <v>0</v>
      </c>
      <c r="BD166" t="n">
        <f>K166*W166</f>
        <v>0</v>
      </c>
      <c r="BE166" t="n">
        <f>L166*W166</f>
        <v>0</v>
      </c>
      <c r="BF166" t="n">
        <f>M166*W166</f>
        <v>0</v>
      </c>
      <c r="BG166" t="n">
        <f>N166*W166</f>
        <v>0</v>
      </c>
      <c r="BH166" t="n">
        <f>O166*W166</f>
        <v>0</v>
      </c>
      <c r="BI166" t="n">
        <f>P166*W166</f>
        <v>0</v>
      </c>
      <c r="BJ166" t="n">
        <f>Q166*W166</f>
        <v>0</v>
      </c>
    </row>
    <row r="167">
      <c r="A167" t="n">
        <f>Charges!A167</f>
        <v>0</v>
      </c>
      <c r="B167" t="n">
        <f>Charges!C167</f>
        <v>0</v>
      </c>
      <c r="C167" t="str">
        <f>Charges!D167</f>
        <v/>
      </c>
      <c r="E167" t="n">
        <f>IF(1&lt;=Paramètres!$B$9,MAX(0,IFERROR(N(IF(ISNUMBER(Charges!F167),MAX(0,Charges!F167),IFERROR(VLOOKUP(Charges!F167,Paramètres!$A$15:$B$18,2,FALSE),0))),0)),0)</f>
        <v>0</v>
      </c>
      <c r="F167" t="n">
        <f>IF(2&lt;=Paramètres!$B$9,MAX(0,IFERROR(N(IF(ISNUMBER(Charges!G167),MAX(0,Charges!G167),IFERROR(VLOOKUP(Charges!G167,Paramètres!$A$15:$B$18,2,FALSE),0))),0)),0)</f>
        <v>0</v>
      </c>
      <c r="G167" t="n">
        <f>IF(3&lt;=Paramètres!$B$9,MAX(0,IFERROR(N(IF(ISNUMBER(Charges!H167),MAX(0,Charges!H167),IFERROR(VLOOKUP(Charges!H167,Paramètres!$A$15:$B$18,2,FALSE),0))),0)),0)</f>
        <v>0</v>
      </c>
      <c r="H167" t="n">
        <f>IF(4&lt;=Paramètres!$B$9,MAX(0,IFERROR(N(IF(ISNUMBER(Charges!I167),MAX(0,Charges!I167),IFERROR(VLOOKUP(Charges!I167,Paramètres!$A$15:$B$18,2,FALSE),0))),0)),0)</f>
        <v>0</v>
      </c>
      <c r="I167" t="n">
        <f>IF(5&lt;=Paramètres!$B$9,MAX(0,IFERROR(N(IF(ISNUMBER(Charges!J167),MAX(0,Charges!J167),IFERROR(VLOOKUP(Charges!J167,Paramètres!$A$15:$B$18,2,FALSE),0))),0)),0)</f>
        <v>0</v>
      </c>
      <c r="J167" t="n">
        <f>IF(6&lt;=Paramètres!$B$9,MAX(0,IFERROR(N(IF(ISNUMBER(Charges!K167),MAX(0,Charges!K167),IFERROR(VLOOKUP(Charges!K167,Paramètres!$A$15:$B$18,2,FALSE),0))),0)),0)</f>
        <v>0</v>
      </c>
      <c r="K167" t="n">
        <f>IF(7&lt;=Paramètres!$B$9,MAX(0,IFERROR(N(IF(ISNUMBER(Charges!L167),MAX(0,Charges!L167),IFERROR(VLOOKUP(Charges!L167,Paramètres!$A$15:$B$18,2,FALSE),0))),0)),0)</f>
        <v>0</v>
      </c>
      <c r="L167" t="n">
        <f>IF(8&lt;=Paramètres!$B$9,MAX(0,IFERROR(N(IF(ISNUMBER(Charges!M167),MAX(0,Charges!M167),IFERROR(VLOOKUP(Charges!M167,Paramètres!$A$15:$B$18,2,FALSE),0))),0)),0)</f>
        <v>0</v>
      </c>
      <c r="M167" t="n">
        <f>IF(9&lt;=Paramètres!$B$9,MAX(0,IFERROR(N(IF(ISNUMBER(Charges!N167),MAX(0,Charges!N167),IFERROR(VLOOKUP(Charges!N167,Paramètres!$A$15:$B$18,2,FALSE),0))),0)),0)</f>
        <v>0</v>
      </c>
      <c r="N167" t="n">
        <f>IF(10&lt;=Paramètres!$B$9,MAX(0,IFERROR(N(IF(ISNUMBER(Charges!O167),MAX(0,Charges!O167),IFERROR(VLOOKUP(Charges!O167,Paramètres!$A$15:$B$18,2,FALSE),0))),0)),0)</f>
        <v>0</v>
      </c>
      <c r="O167" t="n">
        <f>IF(11&lt;=Paramètres!$B$9,MAX(0,IFERROR(N(IF(ISNUMBER(Charges!P167),MAX(0,Charges!P167),IFERROR(VLOOKUP(Charges!P167,Paramètres!$A$15:$B$18,2,FALSE),0))),0)),0)</f>
        <v>0</v>
      </c>
      <c r="P167" t="n">
        <f>IF(12&lt;=Paramètres!$B$9,MAX(0,IFERROR(N(IF(ISNUMBER(Charges!Q167),MAX(0,Charges!Q167),IFERROR(VLOOKUP(Charges!Q167,Paramètres!$A$15:$B$18,2,FALSE),0))),0)),0)</f>
        <v>0</v>
      </c>
      <c r="Q167" t="n">
        <f>IF(13&lt;=Paramètres!$B$9,MAX(0,IFERROR(N(IF(ISNUMBER(Charges!R167),MAX(0,Charges!R167),IFERROR(VLOOKUP(Charges!R167,Paramètres!$A$15:$B$18,2,FALSE),0))),0)),0)</f>
        <v>0</v>
      </c>
      <c r="R167" t="n">
        <f>SUM(E167:Q167)</f>
        <v>0</v>
      </c>
      <c r="S167" t="n">
        <f>IF(IFERROR(VLOOKUP(A167,'Projets'!$A$8:$Z$67,7,FALSE),"")="Engager",1,0)</f>
        <v>0</v>
      </c>
      <c r="T167" t="n">
        <f>IF(OR(Charges!F167="",AND(ISNUMBER(Charges!F167),Charges!F167&gt;=0),Charges!F167="S",Charges!F167="M",Charges!F167="L",Charges!F167="XL"),0,1)+IF(OR(Charges!G167="",AND(ISNUMBER(Charges!G167),Charges!G167&gt;=0),Charges!G167="S",Charges!G167="M",Charges!G167="L",Charges!G167="XL"),0,1)+IF(OR(Charges!H167="",AND(ISNUMBER(Charges!H167),Charges!H167&gt;=0),Charges!H167="S",Charges!H167="M",Charges!H167="L",Charges!H167="XL"),0,1)+IF(OR(Charges!I167="",AND(ISNUMBER(Charges!I167),Charges!I167&gt;=0),Charges!I167="S",Charges!I167="M",Charges!I167="L",Charges!I167="XL"),0,1)+IF(OR(Charges!J167="",AND(ISNUMBER(Charges!J167),Charges!J167&gt;=0),Charges!J167="S",Charges!J167="M",Charges!J167="L",Charges!J167="XL"),0,1)+IF(OR(Charges!K167="",AND(ISNUMBER(Charges!K167),Charges!K167&gt;=0),Charges!K167="S",Charges!K167="M",Charges!K167="L",Charges!K167="XL"),0,1)+IF(OR(Charges!L167="",AND(ISNUMBER(Charges!L167),Charges!L167&gt;=0),Charges!L167="S",Charges!L167="M",Charges!L167="L",Charges!L167="XL"),0,1)+IF(OR(Charges!M167="",AND(ISNUMBER(Charges!M167),Charges!M167&gt;=0),Charges!M167="S",Charges!M167="M",Charges!M167="L",Charges!M167="XL"),0,1)+IF(OR(Charges!N167="",AND(ISNUMBER(Charges!N167),Charges!N167&gt;=0),Charges!N167="S",Charges!N167="M",Charges!N167="L",Charges!N167="XL"),0,1)+IF(OR(Charges!O167="",AND(ISNUMBER(Charges!O167),Charges!O167&gt;=0),Charges!O167="S",Charges!O167="M",Charges!O167="L",Charges!O167="XL"),0,1)+IF(OR(Charges!P167="",AND(ISNUMBER(Charges!P167),Charges!P167&gt;=0),Charges!P167="S",Charges!P167="M",Charges!P167="L",Charges!P167="XL"),0,1)+IF(OR(Charges!Q167="",AND(ISNUMBER(Charges!Q167),Charges!Q167&gt;=0),Charges!Q167="S",Charges!Q167="M",Charges!Q167="L",Charges!Q167="XL"),0,1)+IF(OR(Charges!R167="",AND(ISNUMBER(Charges!R167),Charges!R167&gt;=0),Charges!R167="S",Charges!R167="M",Charges!R167="L",Charges!R167="XL"),0,1)</f>
        <v>0</v>
      </c>
      <c r="U167" t="n">
        <f>IF(AND(1&gt;Paramètres!$B$9,Charges!F167&lt;&gt;"",Charges!F167&lt;&gt;0),1,0)+IF(AND(2&gt;Paramètres!$B$9,Charges!G167&lt;&gt;"",Charges!G167&lt;&gt;0),1,0)+IF(AND(3&gt;Paramètres!$B$9,Charges!H167&lt;&gt;"",Charges!H167&lt;&gt;0),1,0)+IF(AND(4&gt;Paramètres!$B$9,Charges!I167&lt;&gt;"",Charges!I167&lt;&gt;0),1,0)+IF(AND(5&gt;Paramètres!$B$9,Charges!J167&lt;&gt;"",Charges!J167&lt;&gt;0),1,0)+IF(AND(6&gt;Paramètres!$B$9,Charges!K167&lt;&gt;"",Charges!K167&lt;&gt;0),1,0)+IF(AND(7&gt;Paramètres!$B$9,Charges!L167&lt;&gt;"",Charges!L167&lt;&gt;0),1,0)+IF(AND(8&gt;Paramètres!$B$9,Charges!M167&lt;&gt;"",Charges!M167&lt;&gt;0),1,0)+IF(AND(9&gt;Paramètres!$B$9,Charges!N167&lt;&gt;"",Charges!N167&lt;&gt;0),1,0)+IF(AND(10&gt;Paramètres!$B$9,Charges!O167&lt;&gt;"",Charges!O167&lt;&gt;0),1,0)+IF(AND(11&gt;Paramètres!$B$9,Charges!P167&lt;&gt;"",Charges!P167&lt;&gt;0),1,0)+IF(AND(12&gt;Paramètres!$B$9,Charges!Q167&lt;&gt;"",Charges!Q167&lt;&gt;0),1,0)+IF(AND(13&gt;Paramètres!$B$9,Charges!R167&lt;&gt;"",Charges!R167&lt;&gt;0),1,0)</f>
        <v>0</v>
      </c>
      <c r="V167" t="n">
        <f>IF(IFERROR(VLOOKUP(A167,'Projets'!$A$8:$Z$67,5,FALSE),"")="Engager",1,0)</f>
        <v>0</v>
      </c>
      <c r="W167" t="n">
        <f>IF(IFERROR(VLOOKUP(A167,'Projets'!$A$8:$Z$67,6,FALSE),"")="Engager",1,0)</f>
        <v>0</v>
      </c>
      <c r="X167" t="n">
        <f>E167*S167</f>
        <v>0</v>
      </c>
      <c r="Y167" t="n">
        <f>F167*S167</f>
        <v>0</v>
      </c>
      <c r="Z167" t="n">
        <f>G167*S167</f>
        <v>0</v>
      </c>
      <c r="AA167" t="n">
        <f>H167*S167</f>
        <v>0</v>
      </c>
      <c r="AB167" t="n">
        <f>I167*S167</f>
        <v>0</v>
      </c>
      <c r="AC167" t="n">
        <f>J167*S167</f>
        <v>0</v>
      </c>
      <c r="AD167" t="n">
        <f>K167*S167</f>
        <v>0</v>
      </c>
      <c r="AE167" t="n">
        <f>L167*S167</f>
        <v>0</v>
      </c>
      <c r="AF167" t="n">
        <f>M167*S167</f>
        <v>0</v>
      </c>
      <c r="AG167" t="n">
        <f>N167*S167</f>
        <v>0</v>
      </c>
      <c r="AH167" t="n">
        <f>O167*S167</f>
        <v>0</v>
      </c>
      <c r="AI167" t="n">
        <f>P167*S167</f>
        <v>0</v>
      </c>
      <c r="AJ167" t="n">
        <f>Q167*S167</f>
        <v>0</v>
      </c>
      <c r="AK167" t="n">
        <f>E167*V167</f>
        <v>0</v>
      </c>
      <c r="AL167" t="n">
        <f>F167*V167</f>
        <v>0</v>
      </c>
      <c r="AM167" t="n">
        <f>G167*V167</f>
        <v>0</v>
      </c>
      <c r="AN167" t="n">
        <f>H167*V167</f>
        <v>0</v>
      </c>
      <c r="AO167" t="n">
        <f>I167*V167</f>
        <v>0</v>
      </c>
      <c r="AP167" t="n">
        <f>J167*V167</f>
        <v>0</v>
      </c>
      <c r="AQ167" t="n">
        <f>K167*V167</f>
        <v>0</v>
      </c>
      <c r="AR167" t="n">
        <f>L167*V167</f>
        <v>0</v>
      </c>
      <c r="AS167" t="n">
        <f>M167*V167</f>
        <v>0</v>
      </c>
      <c r="AT167" t="n">
        <f>N167*V167</f>
        <v>0</v>
      </c>
      <c r="AU167" t="n">
        <f>O167*V167</f>
        <v>0</v>
      </c>
      <c r="AV167" t="n">
        <f>P167*V167</f>
        <v>0</v>
      </c>
      <c r="AW167" t="n">
        <f>Q167*V167</f>
        <v>0</v>
      </c>
      <c r="AX167" t="n">
        <f>E167*W167</f>
        <v>0</v>
      </c>
      <c r="AY167" t="n">
        <f>F167*W167</f>
        <v>0</v>
      </c>
      <c r="AZ167" t="n">
        <f>G167*W167</f>
        <v>0</v>
      </c>
      <c r="BA167" t="n">
        <f>H167*W167</f>
        <v>0</v>
      </c>
      <c r="BB167" t="n">
        <f>I167*W167</f>
        <v>0</v>
      </c>
      <c r="BC167" t="n">
        <f>J167*W167</f>
        <v>0</v>
      </c>
      <c r="BD167" t="n">
        <f>K167*W167</f>
        <v>0</v>
      </c>
      <c r="BE167" t="n">
        <f>L167*W167</f>
        <v>0</v>
      </c>
      <c r="BF167" t="n">
        <f>M167*W167</f>
        <v>0</v>
      </c>
      <c r="BG167" t="n">
        <f>N167*W167</f>
        <v>0</v>
      </c>
      <c r="BH167" t="n">
        <f>O167*W167</f>
        <v>0</v>
      </c>
      <c r="BI167" t="n">
        <f>P167*W167</f>
        <v>0</v>
      </c>
      <c r="BJ167" t="n">
        <f>Q167*W167</f>
        <v>0</v>
      </c>
    </row>
    <row r="168">
      <c r="A168" t="n">
        <f>Charges!A168</f>
        <v>0</v>
      </c>
      <c r="B168" t="n">
        <f>Charges!C168</f>
        <v>0</v>
      </c>
      <c r="C168" t="str">
        <f>Charges!D168</f>
        <v/>
      </c>
      <c r="E168" t="n">
        <f>IF(1&lt;=Paramètres!$B$9,MAX(0,IFERROR(N(IF(ISNUMBER(Charges!F168),MAX(0,Charges!F168),IFERROR(VLOOKUP(Charges!F168,Paramètres!$A$15:$B$18,2,FALSE),0))),0)),0)</f>
        <v>0</v>
      </c>
      <c r="F168" t="n">
        <f>IF(2&lt;=Paramètres!$B$9,MAX(0,IFERROR(N(IF(ISNUMBER(Charges!G168),MAX(0,Charges!G168),IFERROR(VLOOKUP(Charges!G168,Paramètres!$A$15:$B$18,2,FALSE),0))),0)),0)</f>
        <v>0</v>
      </c>
      <c r="G168" t="n">
        <f>IF(3&lt;=Paramètres!$B$9,MAX(0,IFERROR(N(IF(ISNUMBER(Charges!H168),MAX(0,Charges!H168),IFERROR(VLOOKUP(Charges!H168,Paramètres!$A$15:$B$18,2,FALSE),0))),0)),0)</f>
        <v>0</v>
      </c>
      <c r="H168" t="n">
        <f>IF(4&lt;=Paramètres!$B$9,MAX(0,IFERROR(N(IF(ISNUMBER(Charges!I168),MAX(0,Charges!I168),IFERROR(VLOOKUP(Charges!I168,Paramètres!$A$15:$B$18,2,FALSE),0))),0)),0)</f>
        <v>0</v>
      </c>
      <c r="I168" t="n">
        <f>IF(5&lt;=Paramètres!$B$9,MAX(0,IFERROR(N(IF(ISNUMBER(Charges!J168),MAX(0,Charges!J168),IFERROR(VLOOKUP(Charges!J168,Paramètres!$A$15:$B$18,2,FALSE),0))),0)),0)</f>
        <v>0</v>
      </c>
      <c r="J168" t="n">
        <f>IF(6&lt;=Paramètres!$B$9,MAX(0,IFERROR(N(IF(ISNUMBER(Charges!K168),MAX(0,Charges!K168),IFERROR(VLOOKUP(Charges!K168,Paramètres!$A$15:$B$18,2,FALSE),0))),0)),0)</f>
        <v>0</v>
      </c>
      <c r="K168" t="n">
        <f>IF(7&lt;=Paramètres!$B$9,MAX(0,IFERROR(N(IF(ISNUMBER(Charges!L168),MAX(0,Charges!L168),IFERROR(VLOOKUP(Charges!L168,Paramètres!$A$15:$B$18,2,FALSE),0))),0)),0)</f>
        <v>0</v>
      </c>
      <c r="L168" t="n">
        <f>IF(8&lt;=Paramètres!$B$9,MAX(0,IFERROR(N(IF(ISNUMBER(Charges!M168),MAX(0,Charges!M168),IFERROR(VLOOKUP(Charges!M168,Paramètres!$A$15:$B$18,2,FALSE),0))),0)),0)</f>
        <v>0</v>
      </c>
      <c r="M168" t="n">
        <f>IF(9&lt;=Paramètres!$B$9,MAX(0,IFERROR(N(IF(ISNUMBER(Charges!N168),MAX(0,Charges!N168),IFERROR(VLOOKUP(Charges!N168,Paramètres!$A$15:$B$18,2,FALSE),0))),0)),0)</f>
        <v>0</v>
      </c>
      <c r="N168" t="n">
        <f>IF(10&lt;=Paramètres!$B$9,MAX(0,IFERROR(N(IF(ISNUMBER(Charges!O168),MAX(0,Charges!O168),IFERROR(VLOOKUP(Charges!O168,Paramètres!$A$15:$B$18,2,FALSE),0))),0)),0)</f>
        <v>0</v>
      </c>
      <c r="O168" t="n">
        <f>IF(11&lt;=Paramètres!$B$9,MAX(0,IFERROR(N(IF(ISNUMBER(Charges!P168),MAX(0,Charges!P168),IFERROR(VLOOKUP(Charges!P168,Paramètres!$A$15:$B$18,2,FALSE),0))),0)),0)</f>
        <v>0</v>
      </c>
      <c r="P168" t="n">
        <f>IF(12&lt;=Paramètres!$B$9,MAX(0,IFERROR(N(IF(ISNUMBER(Charges!Q168),MAX(0,Charges!Q168),IFERROR(VLOOKUP(Charges!Q168,Paramètres!$A$15:$B$18,2,FALSE),0))),0)),0)</f>
        <v>0</v>
      </c>
      <c r="Q168" t="n">
        <f>IF(13&lt;=Paramètres!$B$9,MAX(0,IFERROR(N(IF(ISNUMBER(Charges!R168),MAX(0,Charges!R168),IFERROR(VLOOKUP(Charges!R168,Paramètres!$A$15:$B$18,2,FALSE),0))),0)),0)</f>
        <v>0</v>
      </c>
      <c r="R168" t="n">
        <f>SUM(E168:Q168)</f>
        <v>0</v>
      </c>
      <c r="S168" t="n">
        <f>IF(IFERROR(VLOOKUP(A168,'Projets'!$A$8:$Z$67,7,FALSE),"")="Engager",1,0)</f>
        <v>0</v>
      </c>
      <c r="T168" t="n">
        <f>IF(OR(Charges!F168="",AND(ISNUMBER(Charges!F168),Charges!F168&gt;=0),Charges!F168="S",Charges!F168="M",Charges!F168="L",Charges!F168="XL"),0,1)+IF(OR(Charges!G168="",AND(ISNUMBER(Charges!G168),Charges!G168&gt;=0),Charges!G168="S",Charges!G168="M",Charges!G168="L",Charges!G168="XL"),0,1)+IF(OR(Charges!H168="",AND(ISNUMBER(Charges!H168),Charges!H168&gt;=0),Charges!H168="S",Charges!H168="M",Charges!H168="L",Charges!H168="XL"),0,1)+IF(OR(Charges!I168="",AND(ISNUMBER(Charges!I168),Charges!I168&gt;=0),Charges!I168="S",Charges!I168="M",Charges!I168="L",Charges!I168="XL"),0,1)+IF(OR(Charges!J168="",AND(ISNUMBER(Charges!J168),Charges!J168&gt;=0),Charges!J168="S",Charges!J168="M",Charges!J168="L",Charges!J168="XL"),0,1)+IF(OR(Charges!K168="",AND(ISNUMBER(Charges!K168),Charges!K168&gt;=0),Charges!K168="S",Charges!K168="M",Charges!K168="L",Charges!K168="XL"),0,1)+IF(OR(Charges!L168="",AND(ISNUMBER(Charges!L168),Charges!L168&gt;=0),Charges!L168="S",Charges!L168="M",Charges!L168="L",Charges!L168="XL"),0,1)+IF(OR(Charges!M168="",AND(ISNUMBER(Charges!M168),Charges!M168&gt;=0),Charges!M168="S",Charges!M168="M",Charges!M168="L",Charges!M168="XL"),0,1)+IF(OR(Charges!N168="",AND(ISNUMBER(Charges!N168),Charges!N168&gt;=0),Charges!N168="S",Charges!N168="M",Charges!N168="L",Charges!N168="XL"),0,1)+IF(OR(Charges!O168="",AND(ISNUMBER(Charges!O168),Charges!O168&gt;=0),Charges!O168="S",Charges!O168="M",Charges!O168="L",Charges!O168="XL"),0,1)+IF(OR(Charges!P168="",AND(ISNUMBER(Charges!P168),Charges!P168&gt;=0),Charges!P168="S",Charges!P168="M",Charges!P168="L",Charges!P168="XL"),0,1)+IF(OR(Charges!Q168="",AND(ISNUMBER(Charges!Q168),Charges!Q168&gt;=0),Charges!Q168="S",Charges!Q168="M",Charges!Q168="L",Charges!Q168="XL"),0,1)+IF(OR(Charges!R168="",AND(ISNUMBER(Charges!R168),Charges!R168&gt;=0),Charges!R168="S",Charges!R168="M",Charges!R168="L",Charges!R168="XL"),0,1)</f>
        <v>0</v>
      </c>
      <c r="U168" t="n">
        <f>IF(AND(1&gt;Paramètres!$B$9,Charges!F168&lt;&gt;"",Charges!F168&lt;&gt;0),1,0)+IF(AND(2&gt;Paramètres!$B$9,Charges!G168&lt;&gt;"",Charges!G168&lt;&gt;0),1,0)+IF(AND(3&gt;Paramètres!$B$9,Charges!H168&lt;&gt;"",Charges!H168&lt;&gt;0),1,0)+IF(AND(4&gt;Paramètres!$B$9,Charges!I168&lt;&gt;"",Charges!I168&lt;&gt;0),1,0)+IF(AND(5&gt;Paramètres!$B$9,Charges!J168&lt;&gt;"",Charges!J168&lt;&gt;0),1,0)+IF(AND(6&gt;Paramètres!$B$9,Charges!K168&lt;&gt;"",Charges!K168&lt;&gt;0),1,0)+IF(AND(7&gt;Paramètres!$B$9,Charges!L168&lt;&gt;"",Charges!L168&lt;&gt;0),1,0)+IF(AND(8&gt;Paramètres!$B$9,Charges!M168&lt;&gt;"",Charges!M168&lt;&gt;0),1,0)+IF(AND(9&gt;Paramètres!$B$9,Charges!N168&lt;&gt;"",Charges!N168&lt;&gt;0),1,0)+IF(AND(10&gt;Paramètres!$B$9,Charges!O168&lt;&gt;"",Charges!O168&lt;&gt;0),1,0)+IF(AND(11&gt;Paramètres!$B$9,Charges!P168&lt;&gt;"",Charges!P168&lt;&gt;0),1,0)+IF(AND(12&gt;Paramètres!$B$9,Charges!Q168&lt;&gt;"",Charges!Q168&lt;&gt;0),1,0)+IF(AND(13&gt;Paramètres!$B$9,Charges!R168&lt;&gt;"",Charges!R168&lt;&gt;0),1,0)</f>
        <v>0</v>
      </c>
      <c r="V168" t="n">
        <f>IF(IFERROR(VLOOKUP(A168,'Projets'!$A$8:$Z$67,5,FALSE),"")="Engager",1,0)</f>
        <v>0</v>
      </c>
      <c r="W168" t="n">
        <f>IF(IFERROR(VLOOKUP(A168,'Projets'!$A$8:$Z$67,6,FALSE),"")="Engager",1,0)</f>
        <v>0</v>
      </c>
      <c r="X168" t="n">
        <f>E168*S168</f>
        <v>0</v>
      </c>
      <c r="Y168" t="n">
        <f>F168*S168</f>
        <v>0</v>
      </c>
      <c r="Z168" t="n">
        <f>G168*S168</f>
        <v>0</v>
      </c>
      <c r="AA168" t="n">
        <f>H168*S168</f>
        <v>0</v>
      </c>
      <c r="AB168" t="n">
        <f>I168*S168</f>
        <v>0</v>
      </c>
      <c r="AC168" t="n">
        <f>J168*S168</f>
        <v>0</v>
      </c>
      <c r="AD168" t="n">
        <f>K168*S168</f>
        <v>0</v>
      </c>
      <c r="AE168" t="n">
        <f>L168*S168</f>
        <v>0</v>
      </c>
      <c r="AF168" t="n">
        <f>M168*S168</f>
        <v>0</v>
      </c>
      <c r="AG168" t="n">
        <f>N168*S168</f>
        <v>0</v>
      </c>
      <c r="AH168" t="n">
        <f>O168*S168</f>
        <v>0</v>
      </c>
      <c r="AI168" t="n">
        <f>P168*S168</f>
        <v>0</v>
      </c>
      <c r="AJ168" t="n">
        <f>Q168*S168</f>
        <v>0</v>
      </c>
      <c r="AK168" t="n">
        <f>E168*V168</f>
        <v>0</v>
      </c>
      <c r="AL168" t="n">
        <f>F168*V168</f>
        <v>0</v>
      </c>
      <c r="AM168" t="n">
        <f>G168*V168</f>
        <v>0</v>
      </c>
      <c r="AN168" t="n">
        <f>H168*V168</f>
        <v>0</v>
      </c>
      <c r="AO168" t="n">
        <f>I168*V168</f>
        <v>0</v>
      </c>
      <c r="AP168" t="n">
        <f>J168*V168</f>
        <v>0</v>
      </c>
      <c r="AQ168" t="n">
        <f>K168*V168</f>
        <v>0</v>
      </c>
      <c r="AR168" t="n">
        <f>L168*V168</f>
        <v>0</v>
      </c>
      <c r="AS168" t="n">
        <f>M168*V168</f>
        <v>0</v>
      </c>
      <c r="AT168" t="n">
        <f>N168*V168</f>
        <v>0</v>
      </c>
      <c r="AU168" t="n">
        <f>O168*V168</f>
        <v>0</v>
      </c>
      <c r="AV168" t="n">
        <f>P168*V168</f>
        <v>0</v>
      </c>
      <c r="AW168" t="n">
        <f>Q168*V168</f>
        <v>0</v>
      </c>
      <c r="AX168" t="n">
        <f>E168*W168</f>
        <v>0</v>
      </c>
      <c r="AY168" t="n">
        <f>F168*W168</f>
        <v>0</v>
      </c>
      <c r="AZ168" t="n">
        <f>G168*W168</f>
        <v>0</v>
      </c>
      <c r="BA168" t="n">
        <f>H168*W168</f>
        <v>0</v>
      </c>
      <c r="BB168" t="n">
        <f>I168*W168</f>
        <v>0</v>
      </c>
      <c r="BC168" t="n">
        <f>J168*W168</f>
        <v>0</v>
      </c>
      <c r="BD168" t="n">
        <f>K168*W168</f>
        <v>0</v>
      </c>
      <c r="BE168" t="n">
        <f>L168*W168</f>
        <v>0</v>
      </c>
      <c r="BF168" t="n">
        <f>M168*W168</f>
        <v>0</v>
      </c>
      <c r="BG168" t="n">
        <f>N168*W168</f>
        <v>0</v>
      </c>
      <c r="BH168" t="n">
        <f>O168*W168</f>
        <v>0</v>
      </c>
      <c r="BI168" t="n">
        <f>P168*W168</f>
        <v>0</v>
      </c>
      <c r="BJ168" t="n">
        <f>Q168*W168</f>
        <v>0</v>
      </c>
    </row>
    <row r="169">
      <c r="A169" t="n">
        <f>Charges!A169</f>
        <v>0</v>
      </c>
      <c r="B169" t="n">
        <f>Charges!C169</f>
        <v>0</v>
      </c>
      <c r="C169" t="str">
        <f>Charges!D169</f>
        <v/>
      </c>
      <c r="E169" t="n">
        <f>IF(1&lt;=Paramètres!$B$9,MAX(0,IFERROR(N(IF(ISNUMBER(Charges!F169),MAX(0,Charges!F169),IFERROR(VLOOKUP(Charges!F169,Paramètres!$A$15:$B$18,2,FALSE),0))),0)),0)</f>
        <v>0</v>
      </c>
      <c r="F169" t="n">
        <f>IF(2&lt;=Paramètres!$B$9,MAX(0,IFERROR(N(IF(ISNUMBER(Charges!G169),MAX(0,Charges!G169),IFERROR(VLOOKUP(Charges!G169,Paramètres!$A$15:$B$18,2,FALSE),0))),0)),0)</f>
        <v>0</v>
      </c>
      <c r="G169" t="n">
        <f>IF(3&lt;=Paramètres!$B$9,MAX(0,IFERROR(N(IF(ISNUMBER(Charges!H169),MAX(0,Charges!H169),IFERROR(VLOOKUP(Charges!H169,Paramètres!$A$15:$B$18,2,FALSE),0))),0)),0)</f>
        <v>0</v>
      </c>
      <c r="H169" t="n">
        <f>IF(4&lt;=Paramètres!$B$9,MAX(0,IFERROR(N(IF(ISNUMBER(Charges!I169),MAX(0,Charges!I169),IFERROR(VLOOKUP(Charges!I169,Paramètres!$A$15:$B$18,2,FALSE),0))),0)),0)</f>
        <v>0</v>
      </c>
      <c r="I169" t="n">
        <f>IF(5&lt;=Paramètres!$B$9,MAX(0,IFERROR(N(IF(ISNUMBER(Charges!J169),MAX(0,Charges!J169),IFERROR(VLOOKUP(Charges!J169,Paramètres!$A$15:$B$18,2,FALSE),0))),0)),0)</f>
        <v>0</v>
      </c>
      <c r="J169" t="n">
        <f>IF(6&lt;=Paramètres!$B$9,MAX(0,IFERROR(N(IF(ISNUMBER(Charges!K169),MAX(0,Charges!K169),IFERROR(VLOOKUP(Charges!K169,Paramètres!$A$15:$B$18,2,FALSE),0))),0)),0)</f>
        <v>0</v>
      </c>
      <c r="K169" t="n">
        <f>IF(7&lt;=Paramètres!$B$9,MAX(0,IFERROR(N(IF(ISNUMBER(Charges!L169),MAX(0,Charges!L169),IFERROR(VLOOKUP(Charges!L169,Paramètres!$A$15:$B$18,2,FALSE),0))),0)),0)</f>
        <v>0</v>
      </c>
      <c r="L169" t="n">
        <f>IF(8&lt;=Paramètres!$B$9,MAX(0,IFERROR(N(IF(ISNUMBER(Charges!M169),MAX(0,Charges!M169),IFERROR(VLOOKUP(Charges!M169,Paramètres!$A$15:$B$18,2,FALSE),0))),0)),0)</f>
        <v>0</v>
      </c>
      <c r="M169" t="n">
        <f>IF(9&lt;=Paramètres!$B$9,MAX(0,IFERROR(N(IF(ISNUMBER(Charges!N169),MAX(0,Charges!N169),IFERROR(VLOOKUP(Charges!N169,Paramètres!$A$15:$B$18,2,FALSE),0))),0)),0)</f>
        <v>0</v>
      </c>
      <c r="N169" t="n">
        <f>IF(10&lt;=Paramètres!$B$9,MAX(0,IFERROR(N(IF(ISNUMBER(Charges!O169),MAX(0,Charges!O169),IFERROR(VLOOKUP(Charges!O169,Paramètres!$A$15:$B$18,2,FALSE),0))),0)),0)</f>
        <v>0</v>
      </c>
      <c r="O169" t="n">
        <f>IF(11&lt;=Paramètres!$B$9,MAX(0,IFERROR(N(IF(ISNUMBER(Charges!P169),MAX(0,Charges!P169),IFERROR(VLOOKUP(Charges!P169,Paramètres!$A$15:$B$18,2,FALSE),0))),0)),0)</f>
        <v>0</v>
      </c>
      <c r="P169" t="n">
        <f>IF(12&lt;=Paramètres!$B$9,MAX(0,IFERROR(N(IF(ISNUMBER(Charges!Q169),MAX(0,Charges!Q169),IFERROR(VLOOKUP(Charges!Q169,Paramètres!$A$15:$B$18,2,FALSE),0))),0)),0)</f>
        <v>0</v>
      </c>
      <c r="Q169" t="n">
        <f>IF(13&lt;=Paramètres!$B$9,MAX(0,IFERROR(N(IF(ISNUMBER(Charges!R169),MAX(0,Charges!R169),IFERROR(VLOOKUP(Charges!R169,Paramètres!$A$15:$B$18,2,FALSE),0))),0)),0)</f>
        <v>0</v>
      </c>
      <c r="R169" t="n">
        <f>SUM(E169:Q169)</f>
        <v>0</v>
      </c>
      <c r="S169" t="n">
        <f>IF(IFERROR(VLOOKUP(A169,'Projets'!$A$8:$Z$67,7,FALSE),"")="Engager",1,0)</f>
        <v>0</v>
      </c>
      <c r="T169" t="n">
        <f>IF(OR(Charges!F169="",AND(ISNUMBER(Charges!F169),Charges!F169&gt;=0),Charges!F169="S",Charges!F169="M",Charges!F169="L",Charges!F169="XL"),0,1)+IF(OR(Charges!G169="",AND(ISNUMBER(Charges!G169),Charges!G169&gt;=0),Charges!G169="S",Charges!G169="M",Charges!G169="L",Charges!G169="XL"),0,1)+IF(OR(Charges!H169="",AND(ISNUMBER(Charges!H169),Charges!H169&gt;=0),Charges!H169="S",Charges!H169="M",Charges!H169="L",Charges!H169="XL"),0,1)+IF(OR(Charges!I169="",AND(ISNUMBER(Charges!I169),Charges!I169&gt;=0),Charges!I169="S",Charges!I169="M",Charges!I169="L",Charges!I169="XL"),0,1)+IF(OR(Charges!J169="",AND(ISNUMBER(Charges!J169),Charges!J169&gt;=0),Charges!J169="S",Charges!J169="M",Charges!J169="L",Charges!J169="XL"),0,1)+IF(OR(Charges!K169="",AND(ISNUMBER(Charges!K169),Charges!K169&gt;=0),Charges!K169="S",Charges!K169="M",Charges!K169="L",Charges!K169="XL"),0,1)+IF(OR(Charges!L169="",AND(ISNUMBER(Charges!L169),Charges!L169&gt;=0),Charges!L169="S",Charges!L169="M",Charges!L169="L",Charges!L169="XL"),0,1)+IF(OR(Charges!M169="",AND(ISNUMBER(Charges!M169),Charges!M169&gt;=0),Charges!M169="S",Charges!M169="M",Charges!M169="L",Charges!M169="XL"),0,1)+IF(OR(Charges!N169="",AND(ISNUMBER(Charges!N169),Charges!N169&gt;=0),Charges!N169="S",Charges!N169="M",Charges!N169="L",Charges!N169="XL"),0,1)+IF(OR(Charges!O169="",AND(ISNUMBER(Charges!O169),Charges!O169&gt;=0),Charges!O169="S",Charges!O169="M",Charges!O169="L",Charges!O169="XL"),0,1)+IF(OR(Charges!P169="",AND(ISNUMBER(Charges!P169),Charges!P169&gt;=0),Charges!P169="S",Charges!P169="M",Charges!P169="L",Charges!P169="XL"),0,1)+IF(OR(Charges!Q169="",AND(ISNUMBER(Charges!Q169),Charges!Q169&gt;=0),Charges!Q169="S",Charges!Q169="M",Charges!Q169="L",Charges!Q169="XL"),0,1)+IF(OR(Charges!R169="",AND(ISNUMBER(Charges!R169),Charges!R169&gt;=0),Charges!R169="S",Charges!R169="M",Charges!R169="L",Charges!R169="XL"),0,1)</f>
        <v>0</v>
      </c>
      <c r="U169" t="n">
        <f>IF(AND(1&gt;Paramètres!$B$9,Charges!F169&lt;&gt;"",Charges!F169&lt;&gt;0),1,0)+IF(AND(2&gt;Paramètres!$B$9,Charges!G169&lt;&gt;"",Charges!G169&lt;&gt;0),1,0)+IF(AND(3&gt;Paramètres!$B$9,Charges!H169&lt;&gt;"",Charges!H169&lt;&gt;0),1,0)+IF(AND(4&gt;Paramètres!$B$9,Charges!I169&lt;&gt;"",Charges!I169&lt;&gt;0),1,0)+IF(AND(5&gt;Paramètres!$B$9,Charges!J169&lt;&gt;"",Charges!J169&lt;&gt;0),1,0)+IF(AND(6&gt;Paramètres!$B$9,Charges!K169&lt;&gt;"",Charges!K169&lt;&gt;0),1,0)+IF(AND(7&gt;Paramètres!$B$9,Charges!L169&lt;&gt;"",Charges!L169&lt;&gt;0),1,0)+IF(AND(8&gt;Paramètres!$B$9,Charges!M169&lt;&gt;"",Charges!M169&lt;&gt;0),1,0)+IF(AND(9&gt;Paramètres!$B$9,Charges!N169&lt;&gt;"",Charges!N169&lt;&gt;0),1,0)+IF(AND(10&gt;Paramètres!$B$9,Charges!O169&lt;&gt;"",Charges!O169&lt;&gt;0),1,0)+IF(AND(11&gt;Paramètres!$B$9,Charges!P169&lt;&gt;"",Charges!P169&lt;&gt;0),1,0)+IF(AND(12&gt;Paramètres!$B$9,Charges!Q169&lt;&gt;"",Charges!Q169&lt;&gt;0),1,0)+IF(AND(13&gt;Paramètres!$B$9,Charges!R169&lt;&gt;"",Charges!R169&lt;&gt;0),1,0)</f>
        <v>0</v>
      </c>
      <c r="V169" t="n">
        <f>IF(IFERROR(VLOOKUP(A169,'Projets'!$A$8:$Z$67,5,FALSE),"")="Engager",1,0)</f>
        <v>0</v>
      </c>
      <c r="W169" t="n">
        <f>IF(IFERROR(VLOOKUP(A169,'Projets'!$A$8:$Z$67,6,FALSE),"")="Engager",1,0)</f>
        <v>0</v>
      </c>
      <c r="X169" t="n">
        <f>E169*S169</f>
        <v>0</v>
      </c>
      <c r="Y169" t="n">
        <f>F169*S169</f>
        <v>0</v>
      </c>
      <c r="Z169" t="n">
        <f>G169*S169</f>
        <v>0</v>
      </c>
      <c r="AA169" t="n">
        <f>H169*S169</f>
        <v>0</v>
      </c>
      <c r="AB169" t="n">
        <f>I169*S169</f>
        <v>0</v>
      </c>
      <c r="AC169" t="n">
        <f>J169*S169</f>
        <v>0</v>
      </c>
      <c r="AD169" t="n">
        <f>K169*S169</f>
        <v>0</v>
      </c>
      <c r="AE169" t="n">
        <f>L169*S169</f>
        <v>0</v>
      </c>
      <c r="AF169" t="n">
        <f>M169*S169</f>
        <v>0</v>
      </c>
      <c r="AG169" t="n">
        <f>N169*S169</f>
        <v>0</v>
      </c>
      <c r="AH169" t="n">
        <f>O169*S169</f>
        <v>0</v>
      </c>
      <c r="AI169" t="n">
        <f>P169*S169</f>
        <v>0</v>
      </c>
      <c r="AJ169" t="n">
        <f>Q169*S169</f>
        <v>0</v>
      </c>
      <c r="AK169" t="n">
        <f>E169*V169</f>
        <v>0</v>
      </c>
      <c r="AL169" t="n">
        <f>F169*V169</f>
        <v>0</v>
      </c>
      <c r="AM169" t="n">
        <f>G169*V169</f>
        <v>0</v>
      </c>
      <c r="AN169" t="n">
        <f>H169*V169</f>
        <v>0</v>
      </c>
      <c r="AO169" t="n">
        <f>I169*V169</f>
        <v>0</v>
      </c>
      <c r="AP169" t="n">
        <f>J169*V169</f>
        <v>0</v>
      </c>
      <c r="AQ169" t="n">
        <f>K169*V169</f>
        <v>0</v>
      </c>
      <c r="AR169" t="n">
        <f>L169*V169</f>
        <v>0</v>
      </c>
      <c r="AS169" t="n">
        <f>M169*V169</f>
        <v>0</v>
      </c>
      <c r="AT169" t="n">
        <f>N169*V169</f>
        <v>0</v>
      </c>
      <c r="AU169" t="n">
        <f>O169*V169</f>
        <v>0</v>
      </c>
      <c r="AV169" t="n">
        <f>P169*V169</f>
        <v>0</v>
      </c>
      <c r="AW169" t="n">
        <f>Q169*V169</f>
        <v>0</v>
      </c>
      <c r="AX169" t="n">
        <f>E169*W169</f>
        <v>0</v>
      </c>
      <c r="AY169" t="n">
        <f>F169*W169</f>
        <v>0</v>
      </c>
      <c r="AZ169" t="n">
        <f>G169*W169</f>
        <v>0</v>
      </c>
      <c r="BA169" t="n">
        <f>H169*W169</f>
        <v>0</v>
      </c>
      <c r="BB169" t="n">
        <f>I169*W169</f>
        <v>0</v>
      </c>
      <c r="BC169" t="n">
        <f>J169*W169</f>
        <v>0</v>
      </c>
      <c r="BD169" t="n">
        <f>K169*W169</f>
        <v>0</v>
      </c>
      <c r="BE169" t="n">
        <f>L169*W169</f>
        <v>0</v>
      </c>
      <c r="BF169" t="n">
        <f>M169*W169</f>
        <v>0</v>
      </c>
      <c r="BG169" t="n">
        <f>N169*W169</f>
        <v>0</v>
      </c>
      <c r="BH169" t="n">
        <f>O169*W169</f>
        <v>0</v>
      </c>
      <c r="BI169" t="n">
        <f>P169*W169</f>
        <v>0</v>
      </c>
      <c r="BJ169" t="n">
        <f>Q169*W169</f>
        <v>0</v>
      </c>
    </row>
    <row r="170">
      <c r="A170" t="n">
        <f>Charges!A170</f>
        <v>0</v>
      </c>
      <c r="B170" t="n">
        <f>Charges!C170</f>
        <v>0</v>
      </c>
      <c r="C170" t="str">
        <f>Charges!D170</f>
        <v/>
      </c>
      <c r="E170" t="n">
        <f>IF(1&lt;=Paramètres!$B$9,MAX(0,IFERROR(N(IF(ISNUMBER(Charges!F170),MAX(0,Charges!F170),IFERROR(VLOOKUP(Charges!F170,Paramètres!$A$15:$B$18,2,FALSE),0))),0)),0)</f>
        <v>0</v>
      </c>
      <c r="F170" t="n">
        <f>IF(2&lt;=Paramètres!$B$9,MAX(0,IFERROR(N(IF(ISNUMBER(Charges!G170),MAX(0,Charges!G170),IFERROR(VLOOKUP(Charges!G170,Paramètres!$A$15:$B$18,2,FALSE),0))),0)),0)</f>
        <v>0</v>
      </c>
      <c r="G170" t="n">
        <f>IF(3&lt;=Paramètres!$B$9,MAX(0,IFERROR(N(IF(ISNUMBER(Charges!H170),MAX(0,Charges!H170),IFERROR(VLOOKUP(Charges!H170,Paramètres!$A$15:$B$18,2,FALSE),0))),0)),0)</f>
        <v>0</v>
      </c>
      <c r="H170" t="n">
        <f>IF(4&lt;=Paramètres!$B$9,MAX(0,IFERROR(N(IF(ISNUMBER(Charges!I170),MAX(0,Charges!I170),IFERROR(VLOOKUP(Charges!I170,Paramètres!$A$15:$B$18,2,FALSE),0))),0)),0)</f>
        <v>0</v>
      </c>
      <c r="I170" t="n">
        <f>IF(5&lt;=Paramètres!$B$9,MAX(0,IFERROR(N(IF(ISNUMBER(Charges!J170),MAX(0,Charges!J170),IFERROR(VLOOKUP(Charges!J170,Paramètres!$A$15:$B$18,2,FALSE),0))),0)),0)</f>
        <v>0</v>
      </c>
      <c r="J170" t="n">
        <f>IF(6&lt;=Paramètres!$B$9,MAX(0,IFERROR(N(IF(ISNUMBER(Charges!K170),MAX(0,Charges!K170),IFERROR(VLOOKUP(Charges!K170,Paramètres!$A$15:$B$18,2,FALSE),0))),0)),0)</f>
        <v>0</v>
      </c>
      <c r="K170" t="n">
        <f>IF(7&lt;=Paramètres!$B$9,MAX(0,IFERROR(N(IF(ISNUMBER(Charges!L170),MAX(0,Charges!L170),IFERROR(VLOOKUP(Charges!L170,Paramètres!$A$15:$B$18,2,FALSE),0))),0)),0)</f>
        <v>0</v>
      </c>
      <c r="L170" t="n">
        <f>IF(8&lt;=Paramètres!$B$9,MAX(0,IFERROR(N(IF(ISNUMBER(Charges!M170),MAX(0,Charges!M170),IFERROR(VLOOKUP(Charges!M170,Paramètres!$A$15:$B$18,2,FALSE),0))),0)),0)</f>
        <v>0</v>
      </c>
      <c r="M170" t="n">
        <f>IF(9&lt;=Paramètres!$B$9,MAX(0,IFERROR(N(IF(ISNUMBER(Charges!N170),MAX(0,Charges!N170),IFERROR(VLOOKUP(Charges!N170,Paramètres!$A$15:$B$18,2,FALSE),0))),0)),0)</f>
        <v>0</v>
      </c>
      <c r="N170" t="n">
        <f>IF(10&lt;=Paramètres!$B$9,MAX(0,IFERROR(N(IF(ISNUMBER(Charges!O170),MAX(0,Charges!O170),IFERROR(VLOOKUP(Charges!O170,Paramètres!$A$15:$B$18,2,FALSE),0))),0)),0)</f>
        <v>0</v>
      </c>
      <c r="O170" t="n">
        <f>IF(11&lt;=Paramètres!$B$9,MAX(0,IFERROR(N(IF(ISNUMBER(Charges!P170),MAX(0,Charges!P170),IFERROR(VLOOKUP(Charges!P170,Paramètres!$A$15:$B$18,2,FALSE),0))),0)),0)</f>
        <v>0</v>
      </c>
      <c r="P170" t="n">
        <f>IF(12&lt;=Paramètres!$B$9,MAX(0,IFERROR(N(IF(ISNUMBER(Charges!Q170),MAX(0,Charges!Q170),IFERROR(VLOOKUP(Charges!Q170,Paramètres!$A$15:$B$18,2,FALSE),0))),0)),0)</f>
        <v>0</v>
      </c>
      <c r="Q170" t="n">
        <f>IF(13&lt;=Paramètres!$B$9,MAX(0,IFERROR(N(IF(ISNUMBER(Charges!R170),MAX(0,Charges!R170),IFERROR(VLOOKUP(Charges!R170,Paramètres!$A$15:$B$18,2,FALSE),0))),0)),0)</f>
        <v>0</v>
      </c>
      <c r="R170" t="n">
        <f>SUM(E170:Q170)</f>
        <v>0</v>
      </c>
      <c r="S170" t="n">
        <f>IF(IFERROR(VLOOKUP(A170,'Projets'!$A$8:$Z$67,7,FALSE),"")="Engager",1,0)</f>
        <v>0</v>
      </c>
      <c r="T170" t="n">
        <f>IF(OR(Charges!F170="",AND(ISNUMBER(Charges!F170),Charges!F170&gt;=0),Charges!F170="S",Charges!F170="M",Charges!F170="L",Charges!F170="XL"),0,1)+IF(OR(Charges!G170="",AND(ISNUMBER(Charges!G170),Charges!G170&gt;=0),Charges!G170="S",Charges!G170="M",Charges!G170="L",Charges!G170="XL"),0,1)+IF(OR(Charges!H170="",AND(ISNUMBER(Charges!H170),Charges!H170&gt;=0),Charges!H170="S",Charges!H170="M",Charges!H170="L",Charges!H170="XL"),0,1)+IF(OR(Charges!I170="",AND(ISNUMBER(Charges!I170),Charges!I170&gt;=0),Charges!I170="S",Charges!I170="M",Charges!I170="L",Charges!I170="XL"),0,1)+IF(OR(Charges!J170="",AND(ISNUMBER(Charges!J170),Charges!J170&gt;=0),Charges!J170="S",Charges!J170="M",Charges!J170="L",Charges!J170="XL"),0,1)+IF(OR(Charges!K170="",AND(ISNUMBER(Charges!K170),Charges!K170&gt;=0),Charges!K170="S",Charges!K170="M",Charges!K170="L",Charges!K170="XL"),0,1)+IF(OR(Charges!L170="",AND(ISNUMBER(Charges!L170),Charges!L170&gt;=0),Charges!L170="S",Charges!L170="M",Charges!L170="L",Charges!L170="XL"),0,1)+IF(OR(Charges!M170="",AND(ISNUMBER(Charges!M170),Charges!M170&gt;=0),Charges!M170="S",Charges!M170="M",Charges!M170="L",Charges!M170="XL"),0,1)+IF(OR(Charges!N170="",AND(ISNUMBER(Charges!N170),Charges!N170&gt;=0),Charges!N170="S",Charges!N170="M",Charges!N170="L",Charges!N170="XL"),0,1)+IF(OR(Charges!O170="",AND(ISNUMBER(Charges!O170),Charges!O170&gt;=0),Charges!O170="S",Charges!O170="M",Charges!O170="L",Charges!O170="XL"),0,1)+IF(OR(Charges!P170="",AND(ISNUMBER(Charges!P170),Charges!P170&gt;=0),Charges!P170="S",Charges!P170="M",Charges!P170="L",Charges!P170="XL"),0,1)+IF(OR(Charges!Q170="",AND(ISNUMBER(Charges!Q170),Charges!Q170&gt;=0),Charges!Q170="S",Charges!Q170="M",Charges!Q170="L",Charges!Q170="XL"),0,1)+IF(OR(Charges!R170="",AND(ISNUMBER(Charges!R170),Charges!R170&gt;=0),Charges!R170="S",Charges!R170="M",Charges!R170="L",Charges!R170="XL"),0,1)</f>
        <v>0</v>
      </c>
      <c r="U170" t="n">
        <f>IF(AND(1&gt;Paramètres!$B$9,Charges!F170&lt;&gt;"",Charges!F170&lt;&gt;0),1,0)+IF(AND(2&gt;Paramètres!$B$9,Charges!G170&lt;&gt;"",Charges!G170&lt;&gt;0),1,0)+IF(AND(3&gt;Paramètres!$B$9,Charges!H170&lt;&gt;"",Charges!H170&lt;&gt;0),1,0)+IF(AND(4&gt;Paramètres!$B$9,Charges!I170&lt;&gt;"",Charges!I170&lt;&gt;0),1,0)+IF(AND(5&gt;Paramètres!$B$9,Charges!J170&lt;&gt;"",Charges!J170&lt;&gt;0),1,0)+IF(AND(6&gt;Paramètres!$B$9,Charges!K170&lt;&gt;"",Charges!K170&lt;&gt;0),1,0)+IF(AND(7&gt;Paramètres!$B$9,Charges!L170&lt;&gt;"",Charges!L170&lt;&gt;0),1,0)+IF(AND(8&gt;Paramètres!$B$9,Charges!M170&lt;&gt;"",Charges!M170&lt;&gt;0),1,0)+IF(AND(9&gt;Paramètres!$B$9,Charges!N170&lt;&gt;"",Charges!N170&lt;&gt;0),1,0)+IF(AND(10&gt;Paramètres!$B$9,Charges!O170&lt;&gt;"",Charges!O170&lt;&gt;0),1,0)+IF(AND(11&gt;Paramètres!$B$9,Charges!P170&lt;&gt;"",Charges!P170&lt;&gt;0),1,0)+IF(AND(12&gt;Paramètres!$B$9,Charges!Q170&lt;&gt;"",Charges!Q170&lt;&gt;0),1,0)+IF(AND(13&gt;Paramètres!$B$9,Charges!R170&lt;&gt;"",Charges!R170&lt;&gt;0),1,0)</f>
        <v>0</v>
      </c>
      <c r="V170" t="n">
        <f>IF(IFERROR(VLOOKUP(A170,'Projets'!$A$8:$Z$67,5,FALSE),"")="Engager",1,0)</f>
        <v>0</v>
      </c>
      <c r="W170" t="n">
        <f>IF(IFERROR(VLOOKUP(A170,'Projets'!$A$8:$Z$67,6,FALSE),"")="Engager",1,0)</f>
        <v>0</v>
      </c>
      <c r="X170" t="n">
        <f>E170*S170</f>
        <v>0</v>
      </c>
      <c r="Y170" t="n">
        <f>F170*S170</f>
        <v>0</v>
      </c>
      <c r="Z170" t="n">
        <f>G170*S170</f>
        <v>0</v>
      </c>
      <c r="AA170" t="n">
        <f>H170*S170</f>
        <v>0</v>
      </c>
      <c r="AB170" t="n">
        <f>I170*S170</f>
        <v>0</v>
      </c>
      <c r="AC170" t="n">
        <f>J170*S170</f>
        <v>0</v>
      </c>
      <c r="AD170" t="n">
        <f>K170*S170</f>
        <v>0</v>
      </c>
      <c r="AE170" t="n">
        <f>L170*S170</f>
        <v>0</v>
      </c>
      <c r="AF170" t="n">
        <f>M170*S170</f>
        <v>0</v>
      </c>
      <c r="AG170" t="n">
        <f>N170*S170</f>
        <v>0</v>
      </c>
      <c r="AH170" t="n">
        <f>O170*S170</f>
        <v>0</v>
      </c>
      <c r="AI170" t="n">
        <f>P170*S170</f>
        <v>0</v>
      </c>
      <c r="AJ170" t="n">
        <f>Q170*S170</f>
        <v>0</v>
      </c>
      <c r="AK170" t="n">
        <f>E170*V170</f>
        <v>0</v>
      </c>
      <c r="AL170" t="n">
        <f>F170*V170</f>
        <v>0</v>
      </c>
      <c r="AM170" t="n">
        <f>G170*V170</f>
        <v>0</v>
      </c>
      <c r="AN170" t="n">
        <f>H170*V170</f>
        <v>0</v>
      </c>
      <c r="AO170" t="n">
        <f>I170*V170</f>
        <v>0</v>
      </c>
      <c r="AP170" t="n">
        <f>J170*V170</f>
        <v>0</v>
      </c>
      <c r="AQ170" t="n">
        <f>K170*V170</f>
        <v>0</v>
      </c>
      <c r="AR170" t="n">
        <f>L170*V170</f>
        <v>0</v>
      </c>
      <c r="AS170" t="n">
        <f>M170*V170</f>
        <v>0</v>
      </c>
      <c r="AT170" t="n">
        <f>N170*V170</f>
        <v>0</v>
      </c>
      <c r="AU170" t="n">
        <f>O170*V170</f>
        <v>0</v>
      </c>
      <c r="AV170" t="n">
        <f>P170*V170</f>
        <v>0</v>
      </c>
      <c r="AW170" t="n">
        <f>Q170*V170</f>
        <v>0</v>
      </c>
      <c r="AX170" t="n">
        <f>E170*W170</f>
        <v>0</v>
      </c>
      <c r="AY170" t="n">
        <f>F170*W170</f>
        <v>0</v>
      </c>
      <c r="AZ170" t="n">
        <f>G170*W170</f>
        <v>0</v>
      </c>
      <c r="BA170" t="n">
        <f>H170*W170</f>
        <v>0</v>
      </c>
      <c r="BB170" t="n">
        <f>I170*W170</f>
        <v>0</v>
      </c>
      <c r="BC170" t="n">
        <f>J170*W170</f>
        <v>0</v>
      </c>
      <c r="BD170" t="n">
        <f>K170*W170</f>
        <v>0</v>
      </c>
      <c r="BE170" t="n">
        <f>L170*W170</f>
        <v>0</v>
      </c>
      <c r="BF170" t="n">
        <f>M170*W170</f>
        <v>0</v>
      </c>
      <c r="BG170" t="n">
        <f>N170*W170</f>
        <v>0</v>
      </c>
      <c r="BH170" t="n">
        <f>O170*W170</f>
        <v>0</v>
      </c>
      <c r="BI170" t="n">
        <f>P170*W170</f>
        <v>0</v>
      </c>
      <c r="BJ170" t="n">
        <f>Q170*W170</f>
        <v>0</v>
      </c>
    </row>
    <row r="171">
      <c r="A171" t="n">
        <f>Charges!A171</f>
        <v>0</v>
      </c>
      <c r="B171" t="n">
        <f>Charges!C171</f>
        <v>0</v>
      </c>
      <c r="C171" t="str">
        <f>Charges!D171</f>
        <v/>
      </c>
      <c r="E171" t="n">
        <f>IF(1&lt;=Paramètres!$B$9,MAX(0,IFERROR(N(IF(ISNUMBER(Charges!F171),MAX(0,Charges!F171),IFERROR(VLOOKUP(Charges!F171,Paramètres!$A$15:$B$18,2,FALSE),0))),0)),0)</f>
        <v>0</v>
      </c>
      <c r="F171" t="n">
        <f>IF(2&lt;=Paramètres!$B$9,MAX(0,IFERROR(N(IF(ISNUMBER(Charges!G171),MAX(0,Charges!G171),IFERROR(VLOOKUP(Charges!G171,Paramètres!$A$15:$B$18,2,FALSE),0))),0)),0)</f>
        <v>0</v>
      </c>
      <c r="G171" t="n">
        <f>IF(3&lt;=Paramètres!$B$9,MAX(0,IFERROR(N(IF(ISNUMBER(Charges!H171),MAX(0,Charges!H171),IFERROR(VLOOKUP(Charges!H171,Paramètres!$A$15:$B$18,2,FALSE),0))),0)),0)</f>
        <v>0</v>
      </c>
      <c r="H171" t="n">
        <f>IF(4&lt;=Paramètres!$B$9,MAX(0,IFERROR(N(IF(ISNUMBER(Charges!I171),MAX(0,Charges!I171),IFERROR(VLOOKUP(Charges!I171,Paramètres!$A$15:$B$18,2,FALSE),0))),0)),0)</f>
        <v>0</v>
      </c>
      <c r="I171" t="n">
        <f>IF(5&lt;=Paramètres!$B$9,MAX(0,IFERROR(N(IF(ISNUMBER(Charges!J171),MAX(0,Charges!J171),IFERROR(VLOOKUP(Charges!J171,Paramètres!$A$15:$B$18,2,FALSE),0))),0)),0)</f>
        <v>0</v>
      </c>
      <c r="J171" t="n">
        <f>IF(6&lt;=Paramètres!$B$9,MAX(0,IFERROR(N(IF(ISNUMBER(Charges!K171),MAX(0,Charges!K171),IFERROR(VLOOKUP(Charges!K171,Paramètres!$A$15:$B$18,2,FALSE),0))),0)),0)</f>
        <v>0</v>
      </c>
      <c r="K171" t="n">
        <f>IF(7&lt;=Paramètres!$B$9,MAX(0,IFERROR(N(IF(ISNUMBER(Charges!L171),MAX(0,Charges!L171),IFERROR(VLOOKUP(Charges!L171,Paramètres!$A$15:$B$18,2,FALSE),0))),0)),0)</f>
        <v>0</v>
      </c>
      <c r="L171" t="n">
        <f>IF(8&lt;=Paramètres!$B$9,MAX(0,IFERROR(N(IF(ISNUMBER(Charges!M171),MAX(0,Charges!M171),IFERROR(VLOOKUP(Charges!M171,Paramètres!$A$15:$B$18,2,FALSE),0))),0)),0)</f>
        <v>0</v>
      </c>
      <c r="M171" t="n">
        <f>IF(9&lt;=Paramètres!$B$9,MAX(0,IFERROR(N(IF(ISNUMBER(Charges!N171),MAX(0,Charges!N171),IFERROR(VLOOKUP(Charges!N171,Paramètres!$A$15:$B$18,2,FALSE),0))),0)),0)</f>
        <v>0</v>
      </c>
      <c r="N171" t="n">
        <f>IF(10&lt;=Paramètres!$B$9,MAX(0,IFERROR(N(IF(ISNUMBER(Charges!O171),MAX(0,Charges!O171),IFERROR(VLOOKUP(Charges!O171,Paramètres!$A$15:$B$18,2,FALSE),0))),0)),0)</f>
        <v>0</v>
      </c>
      <c r="O171" t="n">
        <f>IF(11&lt;=Paramètres!$B$9,MAX(0,IFERROR(N(IF(ISNUMBER(Charges!P171),MAX(0,Charges!P171),IFERROR(VLOOKUP(Charges!P171,Paramètres!$A$15:$B$18,2,FALSE),0))),0)),0)</f>
        <v>0</v>
      </c>
      <c r="P171" t="n">
        <f>IF(12&lt;=Paramètres!$B$9,MAX(0,IFERROR(N(IF(ISNUMBER(Charges!Q171),MAX(0,Charges!Q171),IFERROR(VLOOKUP(Charges!Q171,Paramètres!$A$15:$B$18,2,FALSE),0))),0)),0)</f>
        <v>0</v>
      </c>
      <c r="Q171" t="n">
        <f>IF(13&lt;=Paramètres!$B$9,MAX(0,IFERROR(N(IF(ISNUMBER(Charges!R171),MAX(0,Charges!R171),IFERROR(VLOOKUP(Charges!R171,Paramètres!$A$15:$B$18,2,FALSE),0))),0)),0)</f>
        <v>0</v>
      </c>
      <c r="R171" t="n">
        <f>SUM(E171:Q171)</f>
        <v>0</v>
      </c>
      <c r="S171" t="n">
        <f>IF(IFERROR(VLOOKUP(A171,'Projets'!$A$8:$Z$67,7,FALSE),"")="Engager",1,0)</f>
        <v>0</v>
      </c>
      <c r="T171" t="n">
        <f>IF(OR(Charges!F171="",AND(ISNUMBER(Charges!F171),Charges!F171&gt;=0),Charges!F171="S",Charges!F171="M",Charges!F171="L",Charges!F171="XL"),0,1)+IF(OR(Charges!G171="",AND(ISNUMBER(Charges!G171),Charges!G171&gt;=0),Charges!G171="S",Charges!G171="M",Charges!G171="L",Charges!G171="XL"),0,1)+IF(OR(Charges!H171="",AND(ISNUMBER(Charges!H171),Charges!H171&gt;=0),Charges!H171="S",Charges!H171="M",Charges!H171="L",Charges!H171="XL"),0,1)+IF(OR(Charges!I171="",AND(ISNUMBER(Charges!I171),Charges!I171&gt;=0),Charges!I171="S",Charges!I171="M",Charges!I171="L",Charges!I171="XL"),0,1)+IF(OR(Charges!J171="",AND(ISNUMBER(Charges!J171),Charges!J171&gt;=0),Charges!J171="S",Charges!J171="M",Charges!J171="L",Charges!J171="XL"),0,1)+IF(OR(Charges!K171="",AND(ISNUMBER(Charges!K171),Charges!K171&gt;=0),Charges!K171="S",Charges!K171="M",Charges!K171="L",Charges!K171="XL"),0,1)+IF(OR(Charges!L171="",AND(ISNUMBER(Charges!L171),Charges!L171&gt;=0),Charges!L171="S",Charges!L171="M",Charges!L171="L",Charges!L171="XL"),0,1)+IF(OR(Charges!M171="",AND(ISNUMBER(Charges!M171),Charges!M171&gt;=0),Charges!M171="S",Charges!M171="M",Charges!M171="L",Charges!M171="XL"),0,1)+IF(OR(Charges!N171="",AND(ISNUMBER(Charges!N171),Charges!N171&gt;=0),Charges!N171="S",Charges!N171="M",Charges!N171="L",Charges!N171="XL"),0,1)+IF(OR(Charges!O171="",AND(ISNUMBER(Charges!O171),Charges!O171&gt;=0),Charges!O171="S",Charges!O171="M",Charges!O171="L",Charges!O171="XL"),0,1)+IF(OR(Charges!P171="",AND(ISNUMBER(Charges!P171),Charges!P171&gt;=0),Charges!P171="S",Charges!P171="M",Charges!P171="L",Charges!P171="XL"),0,1)+IF(OR(Charges!Q171="",AND(ISNUMBER(Charges!Q171),Charges!Q171&gt;=0),Charges!Q171="S",Charges!Q171="M",Charges!Q171="L",Charges!Q171="XL"),0,1)+IF(OR(Charges!R171="",AND(ISNUMBER(Charges!R171),Charges!R171&gt;=0),Charges!R171="S",Charges!R171="M",Charges!R171="L",Charges!R171="XL"),0,1)</f>
        <v>0</v>
      </c>
      <c r="U171" t="n">
        <f>IF(AND(1&gt;Paramètres!$B$9,Charges!F171&lt;&gt;"",Charges!F171&lt;&gt;0),1,0)+IF(AND(2&gt;Paramètres!$B$9,Charges!G171&lt;&gt;"",Charges!G171&lt;&gt;0),1,0)+IF(AND(3&gt;Paramètres!$B$9,Charges!H171&lt;&gt;"",Charges!H171&lt;&gt;0),1,0)+IF(AND(4&gt;Paramètres!$B$9,Charges!I171&lt;&gt;"",Charges!I171&lt;&gt;0),1,0)+IF(AND(5&gt;Paramètres!$B$9,Charges!J171&lt;&gt;"",Charges!J171&lt;&gt;0),1,0)+IF(AND(6&gt;Paramètres!$B$9,Charges!K171&lt;&gt;"",Charges!K171&lt;&gt;0),1,0)+IF(AND(7&gt;Paramètres!$B$9,Charges!L171&lt;&gt;"",Charges!L171&lt;&gt;0),1,0)+IF(AND(8&gt;Paramètres!$B$9,Charges!M171&lt;&gt;"",Charges!M171&lt;&gt;0),1,0)+IF(AND(9&gt;Paramètres!$B$9,Charges!N171&lt;&gt;"",Charges!N171&lt;&gt;0),1,0)+IF(AND(10&gt;Paramètres!$B$9,Charges!O171&lt;&gt;"",Charges!O171&lt;&gt;0),1,0)+IF(AND(11&gt;Paramètres!$B$9,Charges!P171&lt;&gt;"",Charges!P171&lt;&gt;0),1,0)+IF(AND(12&gt;Paramètres!$B$9,Charges!Q171&lt;&gt;"",Charges!Q171&lt;&gt;0),1,0)+IF(AND(13&gt;Paramètres!$B$9,Charges!R171&lt;&gt;"",Charges!R171&lt;&gt;0),1,0)</f>
        <v>0</v>
      </c>
      <c r="V171" t="n">
        <f>IF(IFERROR(VLOOKUP(A171,'Projets'!$A$8:$Z$67,5,FALSE),"")="Engager",1,0)</f>
        <v>0</v>
      </c>
      <c r="W171" t="n">
        <f>IF(IFERROR(VLOOKUP(A171,'Projets'!$A$8:$Z$67,6,FALSE),"")="Engager",1,0)</f>
        <v>0</v>
      </c>
      <c r="X171" t="n">
        <f>E171*S171</f>
        <v>0</v>
      </c>
      <c r="Y171" t="n">
        <f>F171*S171</f>
        <v>0</v>
      </c>
      <c r="Z171" t="n">
        <f>G171*S171</f>
        <v>0</v>
      </c>
      <c r="AA171" t="n">
        <f>H171*S171</f>
        <v>0</v>
      </c>
      <c r="AB171" t="n">
        <f>I171*S171</f>
        <v>0</v>
      </c>
      <c r="AC171" t="n">
        <f>J171*S171</f>
        <v>0</v>
      </c>
      <c r="AD171" t="n">
        <f>K171*S171</f>
        <v>0</v>
      </c>
      <c r="AE171" t="n">
        <f>L171*S171</f>
        <v>0</v>
      </c>
      <c r="AF171" t="n">
        <f>M171*S171</f>
        <v>0</v>
      </c>
      <c r="AG171" t="n">
        <f>N171*S171</f>
        <v>0</v>
      </c>
      <c r="AH171" t="n">
        <f>O171*S171</f>
        <v>0</v>
      </c>
      <c r="AI171" t="n">
        <f>P171*S171</f>
        <v>0</v>
      </c>
      <c r="AJ171" t="n">
        <f>Q171*S171</f>
        <v>0</v>
      </c>
      <c r="AK171" t="n">
        <f>E171*V171</f>
        <v>0</v>
      </c>
      <c r="AL171" t="n">
        <f>F171*V171</f>
        <v>0</v>
      </c>
      <c r="AM171" t="n">
        <f>G171*V171</f>
        <v>0</v>
      </c>
      <c r="AN171" t="n">
        <f>H171*V171</f>
        <v>0</v>
      </c>
      <c r="AO171" t="n">
        <f>I171*V171</f>
        <v>0</v>
      </c>
      <c r="AP171" t="n">
        <f>J171*V171</f>
        <v>0</v>
      </c>
      <c r="AQ171" t="n">
        <f>K171*V171</f>
        <v>0</v>
      </c>
      <c r="AR171" t="n">
        <f>L171*V171</f>
        <v>0</v>
      </c>
      <c r="AS171" t="n">
        <f>M171*V171</f>
        <v>0</v>
      </c>
      <c r="AT171" t="n">
        <f>N171*V171</f>
        <v>0</v>
      </c>
      <c r="AU171" t="n">
        <f>O171*V171</f>
        <v>0</v>
      </c>
      <c r="AV171" t="n">
        <f>P171*V171</f>
        <v>0</v>
      </c>
      <c r="AW171" t="n">
        <f>Q171*V171</f>
        <v>0</v>
      </c>
      <c r="AX171" t="n">
        <f>E171*W171</f>
        <v>0</v>
      </c>
      <c r="AY171" t="n">
        <f>F171*W171</f>
        <v>0</v>
      </c>
      <c r="AZ171" t="n">
        <f>G171*W171</f>
        <v>0</v>
      </c>
      <c r="BA171" t="n">
        <f>H171*W171</f>
        <v>0</v>
      </c>
      <c r="BB171" t="n">
        <f>I171*W171</f>
        <v>0</v>
      </c>
      <c r="BC171" t="n">
        <f>J171*W171</f>
        <v>0</v>
      </c>
      <c r="BD171" t="n">
        <f>K171*W171</f>
        <v>0</v>
      </c>
      <c r="BE171" t="n">
        <f>L171*W171</f>
        <v>0</v>
      </c>
      <c r="BF171" t="n">
        <f>M171*W171</f>
        <v>0</v>
      </c>
      <c r="BG171" t="n">
        <f>N171*W171</f>
        <v>0</v>
      </c>
      <c r="BH171" t="n">
        <f>O171*W171</f>
        <v>0</v>
      </c>
      <c r="BI171" t="n">
        <f>P171*W171</f>
        <v>0</v>
      </c>
      <c r="BJ171" t="n">
        <f>Q171*W171</f>
        <v>0</v>
      </c>
    </row>
    <row r="172">
      <c r="A172" t="n">
        <f>Charges!A172</f>
        <v>0</v>
      </c>
      <c r="B172" t="n">
        <f>Charges!C172</f>
        <v>0</v>
      </c>
      <c r="C172" t="str">
        <f>Charges!D172</f>
        <v/>
      </c>
      <c r="E172" t="n">
        <f>IF(1&lt;=Paramètres!$B$9,MAX(0,IFERROR(N(IF(ISNUMBER(Charges!F172),MAX(0,Charges!F172),IFERROR(VLOOKUP(Charges!F172,Paramètres!$A$15:$B$18,2,FALSE),0))),0)),0)</f>
        <v>0</v>
      </c>
      <c r="F172" t="n">
        <f>IF(2&lt;=Paramètres!$B$9,MAX(0,IFERROR(N(IF(ISNUMBER(Charges!G172),MAX(0,Charges!G172),IFERROR(VLOOKUP(Charges!G172,Paramètres!$A$15:$B$18,2,FALSE),0))),0)),0)</f>
        <v>0</v>
      </c>
      <c r="G172" t="n">
        <f>IF(3&lt;=Paramètres!$B$9,MAX(0,IFERROR(N(IF(ISNUMBER(Charges!H172),MAX(0,Charges!H172),IFERROR(VLOOKUP(Charges!H172,Paramètres!$A$15:$B$18,2,FALSE),0))),0)),0)</f>
        <v>0</v>
      </c>
      <c r="H172" t="n">
        <f>IF(4&lt;=Paramètres!$B$9,MAX(0,IFERROR(N(IF(ISNUMBER(Charges!I172),MAX(0,Charges!I172),IFERROR(VLOOKUP(Charges!I172,Paramètres!$A$15:$B$18,2,FALSE),0))),0)),0)</f>
        <v>0</v>
      </c>
      <c r="I172" t="n">
        <f>IF(5&lt;=Paramètres!$B$9,MAX(0,IFERROR(N(IF(ISNUMBER(Charges!J172),MAX(0,Charges!J172),IFERROR(VLOOKUP(Charges!J172,Paramètres!$A$15:$B$18,2,FALSE),0))),0)),0)</f>
        <v>0</v>
      </c>
      <c r="J172" t="n">
        <f>IF(6&lt;=Paramètres!$B$9,MAX(0,IFERROR(N(IF(ISNUMBER(Charges!K172),MAX(0,Charges!K172),IFERROR(VLOOKUP(Charges!K172,Paramètres!$A$15:$B$18,2,FALSE),0))),0)),0)</f>
        <v>0</v>
      </c>
      <c r="K172" t="n">
        <f>IF(7&lt;=Paramètres!$B$9,MAX(0,IFERROR(N(IF(ISNUMBER(Charges!L172),MAX(0,Charges!L172),IFERROR(VLOOKUP(Charges!L172,Paramètres!$A$15:$B$18,2,FALSE),0))),0)),0)</f>
        <v>0</v>
      </c>
      <c r="L172" t="n">
        <f>IF(8&lt;=Paramètres!$B$9,MAX(0,IFERROR(N(IF(ISNUMBER(Charges!M172),MAX(0,Charges!M172),IFERROR(VLOOKUP(Charges!M172,Paramètres!$A$15:$B$18,2,FALSE),0))),0)),0)</f>
        <v>0</v>
      </c>
      <c r="M172" t="n">
        <f>IF(9&lt;=Paramètres!$B$9,MAX(0,IFERROR(N(IF(ISNUMBER(Charges!N172),MAX(0,Charges!N172),IFERROR(VLOOKUP(Charges!N172,Paramètres!$A$15:$B$18,2,FALSE),0))),0)),0)</f>
        <v>0</v>
      </c>
      <c r="N172" t="n">
        <f>IF(10&lt;=Paramètres!$B$9,MAX(0,IFERROR(N(IF(ISNUMBER(Charges!O172),MAX(0,Charges!O172),IFERROR(VLOOKUP(Charges!O172,Paramètres!$A$15:$B$18,2,FALSE),0))),0)),0)</f>
        <v>0</v>
      </c>
      <c r="O172" t="n">
        <f>IF(11&lt;=Paramètres!$B$9,MAX(0,IFERROR(N(IF(ISNUMBER(Charges!P172),MAX(0,Charges!P172),IFERROR(VLOOKUP(Charges!P172,Paramètres!$A$15:$B$18,2,FALSE),0))),0)),0)</f>
        <v>0</v>
      </c>
      <c r="P172" t="n">
        <f>IF(12&lt;=Paramètres!$B$9,MAX(0,IFERROR(N(IF(ISNUMBER(Charges!Q172),MAX(0,Charges!Q172),IFERROR(VLOOKUP(Charges!Q172,Paramètres!$A$15:$B$18,2,FALSE),0))),0)),0)</f>
        <v>0</v>
      </c>
      <c r="Q172" t="n">
        <f>IF(13&lt;=Paramètres!$B$9,MAX(0,IFERROR(N(IF(ISNUMBER(Charges!R172),MAX(0,Charges!R172),IFERROR(VLOOKUP(Charges!R172,Paramètres!$A$15:$B$18,2,FALSE),0))),0)),0)</f>
        <v>0</v>
      </c>
      <c r="R172" t="n">
        <f>SUM(E172:Q172)</f>
        <v>0</v>
      </c>
      <c r="S172" t="n">
        <f>IF(IFERROR(VLOOKUP(A172,'Projets'!$A$8:$Z$67,7,FALSE),"")="Engager",1,0)</f>
        <v>0</v>
      </c>
      <c r="T172" t="n">
        <f>IF(OR(Charges!F172="",AND(ISNUMBER(Charges!F172),Charges!F172&gt;=0),Charges!F172="S",Charges!F172="M",Charges!F172="L",Charges!F172="XL"),0,1)+IF(OR(Charges!G172="",AND(ISNUMBER(Charges!G172),Charges!G172&gt;=0),Charges!G172="S",Charges!G172="M",Charges!G172="L",Charges!G172="XL"),0,1)+IF(OR(Charges!H172="",AND(ISNUMBER(Charges!H172),Charges!H172&gt;=0),Charges!H172="S",Charges!H172="M",Charges!H172="L",Charges!H172="XL"),0,1)+IF(OR(Charges!I172="",AND(ISNUMBER(Charges!I172),Charges!I172&gt;=0),Charges!I172="S",Charges!I172="M",Charges!I172="L",Charges!I172="XL"),0,1)+IF(OR(Charges!J172="",AND(ISNUMBER(Charges!J172),Charges!J172&gt;=0),Charges!J172="S",Charges!J172="M",Charges!J172="L",Charges!J172="XL"),0,1)+IF(OR(Charges!K172="",AND(ISNUMBER(Charges!K172),Charges!K172&gt;=0),Charges!K172="S",Charges!K172="M",Charges!K172="L",Charges!K172="XL"),0,1)+IF(OR(Charges!L172="",AND(ISNUMBER(Charges!L172),Charges!L172&gt;=0),Charges!L172="S",Charges!L172="M",Charges!L172="L",Charges!L172="XL"),0,1)+IF(OR(Charges!M172="",AND(ISNUMBER(Charges!M172),Charges!M172&gt;=0),Charges!M172="S",Charges!M172="M",Charges!M172="L",Charges!M172="XL"),0,1)+IF(OR(Charges!N172="",AND(ISNUMBER(Charges!N172),Charges!N172&gt;=0),Charges!N172="S",Charges!N172="M",Charges!N172="L",Charges!N172="XL"),0,1)+IF(OR(Charges!O172="",AND(ISNUMBER(Charges!O172),Charges!O172&gt;=0),Charges!O172="S",Charges!O172="M",Charges!O172="L",Charges!O172="XL"),0,1)+IF(OR(Charges!P172="",AND(ISNUMBER(Charges!P172),Charges!P172&gt;=0),Charges!P172="S",Charges!P172="M",Charges!P172="L",Charges!P172="XL"),0,1)+IF(OR(Charges!Q172="",AND(ISNUMBER(Charges!Q172),Charges!Q172&gt;=0),Charges!Q172="S",Charges!Q172="M",Charges!Q172="L",Charges!Q172="XL"),0,1)+IF(OR(Charges!R172="",AND(ISNUMBER(Charges!R172),Charges!R172&gt;=0),Charges!R172="S",Charges!R172="M",Charges!R172="L",Charges!R172="XL"),0,1)</f>
        <v>0</v>
      </c>
      <c r="U172" t="n">
        <f>IF(AND(1&gt;Paramètres!$B$9,Charges!F172&lt;&gt;"",Charges!F172&lt;&gt;0),1,0)+IF(AND(2&gt;Paramètres!$B$9,Charges!G172&lt;&gt;"",Charges!G172&lt;&gt;0),1,0)+IF(AND(3&gt;Paramètres!$B$9,Charges!H172&lt;&gt;"",Charges!H172&lt;&gt;0),1,0)+IF(AND(4&gt;Paramètres!$B$9,Charges!I172&lt;&gt;"",Charges!I172&lt;&gt;0),1,0)+IF(AND(5&gt;Paramètres!$B$9,Charges!J172&lt;&gt;"",Charges!J172&lt;&gt;0),1,0)+IF(AND(6&gt;Paramètres!$B$9,Charges!K172&lt;&gt;"",Charges!K172&lt;&gt;0),1,0)+IF(AND(7&gt;Paramètres!$B$9,Charges!L172&lt;&gt;"",Charges!L172&lt;&gt;0),1,0)+IF(AND(8&gt;Paramètres!$B$9,Charges!M172&lt;&gt;"",Charges!M172&lt;&gt;0),1,0)+IF(AND(9&gt;Paramètres!$B$9,Charges!N172&lt;&gt;"",Charges!N172&lt;&gt;0),1,0)+IF(AND(10&gt;Paramètres!$B$9,Charges!O172&lt;&gt;"",Charges!O172&lt;&gt;0),1,0)+IF(AND(11&gt;Paramètres!$B$9,Charges!P172&lt;&gt;"",Charges!P172&lt;&gt;0),1,0)+IF(AND(12&gt;Paramètres!$B$9,Charges!Q172&lt;&gt;"",Charges!Q172&lt;&gt;0),1,0)+IF(AND(13&gt;Paramètres!$B$9,Charges!R172&lt;&gt;"",Charges!R172&lt;&gt;0),1,0)</f>
        <v>0</v>
      </c>
      <c r="V172" t="n">
        <f>IF(IFERROR(VLOOKUP(A172,'Projets'!$A$8:$Z$67,5,FALSE),"")="Engager",1,0)</f>
        <v>0</v>
      </c>
      <c r="W172" t="n">
        <f>IF(IFERROR(VLOOKUP(A172,'Projets'!$A$8:$Z$67,6,FALSE),"")="Engager",1,0)</f>
        <v>0</v>
      </c>
      <c r="X172" t="n">
        <f>E172*S172</f>
        <v>0</v>
      </c>
      <c r="Y172" t="n">
        <f>F172*S172</f>
        <v>0</v>
      </c>
      <c r="Z172" t="n">
        <f>G172*S172</f>
        <v>0</v>
      </c>
      <c r="AA172" t="n">
        <f>H172*S172</f>
        <v>0</v>
      </c>
      <c r="AB172" t="n">
        <f>I172*S172</f>
        <v>0</v>
      </c>
      <c r="AC172" t="n">
        <f>J172*S172</f>
        <v>0</v>
      </c>
      <c r="AD172" t="n">
        <f>K172*S172</f>
        <v>0</v>
      </c>
      <c r="AE172" t="n">
        <f>L172*S172</f>
        <v>0</v>
      </c>
      <c r="AF172" t="n">
        <f>M172*S172</f>
        <v>0</v>
      </c>
      <c r="AG172" t="n">
        <f>N172*S172</f>
        <v>0</v>
      </c>
      <c r="AH172" t="n">
        <f>O172*S172</f>
        <v>0</v>
      </c>
      <c r="AI172" t="n">
        <f>P172*S172</f>
        <v>0</v>
      </c>
      <c r="AJ172" t="n">
        <f>Q172*S172</f>
        <v>0</v>
      </c>
      <c r="AK172" t="n">
        <f>E172*V172</f>
        <v>0</v>
      </c>
      <c r="AL172" t="n">
        <f>F172*V172</f>
        <v>0</v>
      </c>
      <c r="AM172" t="n">
        <f>G172*V172</f>
        <v>0</v>
      </c>
      <c r="AN172" t="n">
        <f>H172*V172</f>
        <v>0</v>
      </c>
      <c r="AO172" t="n">
        <f>I172*V172</f>
        <v>0</v>
      </c>
      <c r="AP172" t="n">
        <f>J172*V172</f>
        <v>0</v>
      </c>
      <c r="AQ172" t="n">
        <f>K172*V172</f>
        <v>0</v>
      </c>
      <c r="AR172" t="n">
        <f>L172*V172</f>
        <v>0</v>
      </c>
      <c r="AS172" t="n">
        <f>M172*V172</f>
        <v>0</v>
      </c>
      <c r="AT172" t="n">
        <f>N172*V172</f>
        <v>0</v>
      </c>
      <c r="AU172" t="n">
        <f>O172*V172</f>
        <v>0</v>
      </c>
      <c r="AV172" t="n">
        <f>P172*V172</f>
        <v>0</v>
      </c>
      <c r="AW172" t="n">
        <f>Q172*V172</f>
        <v>0</v>
      </c>
      <c r="AX172" t="n">
        <f>E172*W172</f>
        <v>0</v>
      </c>
      <c r="AY172" t="n">
        <f>F172*W172</f>
        <v>0</v>
      </c>
      <c r="AZ172" t="n">
        <f>G172*W172</f>
        <v>0</v>
      </c>
      <c r="BA172" t="n">
        <f>H172*W172</f>
        <v>0</v>
      </c>
      <c r="BB172" t="n">
        <f>I172*W172</f>
        <v>0</v>
      </c>
      <c r="BC172" t="n">
        <f>J172*W172</f>
        <v>0</v>
      </c>
      <c r="BD172" t="n">
        <f>K172*W172</f>
        <v>0</v>
      </c>
      <c r="BE172" t="n">
        <f>L172*W172</f>
        <v>0</v>
      </c>
      <c r="BF172" t="n">
        <f>M172*W172</f>
        <v>0</v>
      </c>
      <c r="BG172" t="n">
        <f>N172*W172</f>
        <v>0</v>
      </c>
      <c r="BH172" t="n">
        <f>O172*W172</f>
        <v>0</v>
      </c>
      <c r="BI172" t="n">
        <f>P172*W172</f>
        <v>0</v>
      </c>
      <c r="BJ172" t="n">
        <f>Q172*W172</f>
        <v>0</v>
      </c>
    </row>
    <row r="173">
      <c r="A173" t="n">
        <f>Charges!A173</f>
        <v>0</v>
      </c>
      <c r="B173" t="n">
        <f>Charges!C173</f>
        <v>0</v>
      </c>
      <c r="C173" t="str">
        <f>Charges!D173</f>
        <v/>
      </c>
      <c r="E173" t="n">
        <f>IF(1&lt;=Paramètres!$B$9,MAX(0,IFERROR(N(IF(ISNUMBER(Charges!F173),MAX(0,Charges!F173),IFERROR(VLOOKUP(Charges!F173,Paramètres!$A$15:$B$18,2,FALSE),0))),0)),0)</f>
        <v>0</v>
      </c>
      <c r="F173" t="n">
        <f>IF(2&lt;=Paramètres!$B$9,MAX(0,IFERROR(N(IF(ISNUMBER(Charges!G173),MAX(0,Charges!G173),IFERROR(VLOOKUP(Charges!G173,Paramètres!$A$15:$B$18,2,FALSE),0))),0)),0)</f>
        <v>0</v>
      </c>
      <c r="G173" t="n">
        <f>IF(3&lt;=Paramètres!$B$9,MAX(0,IFERROR(N(IF(ISNUMBER(Charges!H173),MAX(0,Charges!H173),IFERROR(VLOOKUP(Charges!H173,Paramètres!$A$15:$B$18,2,FALSE),0))),0)),0)</f>
        <v>0</v>
      </c>
      <c r="H173" t="n">
        <f>IF(4&lt;=Paramètres!$B$9,MAX(0,IFERROR(N(IF(ISNUMBER(Charges!I173),MAX(0,Charges!I173),IFERROR(VLOOKUP(Charges!I173,Paramètres!$A$15:$B$18,2,FALSE),0))),0)),0)</f>
        <v>0</v>
      </c>
      <c r="I173" t="n">
        <f>IF(5&lt;=Paramètres!$B$9,MAX(0,IFERROR(N(IF(ISNUMBER(Charges!J173),MAX(0,Charges!J173),IFERROR(VLOOKUP(Charges!J173,Paramètres!$A$15:$B$18,2,FALSE),0))),0)),0)</f>
        <v>0</v>
      </c>
      <c r="J173" t="n">
        <f>IF(6&lt;=Paramètres!$B$9,MAX(0,IFERROR(N(IF(ISNUMBER(Charges!K173),MAX(0,Charges!K173),IFERROR(VLOOKUP(Charges!K173,Paramètres!$A$15:$B$18,2,FALSE),0))),0)),0)</f>
        <v>0</v>
      </c>
      <c r="K173" t="n">
        <f>IF(7&lt;=Paramètres!$B$9,MAX(0,IFERROR(N(IF(ISNUMBER(Charges!L173),MAX(0,Charges!L173),IFERROR(VLOOKUP(Charges!L173,Paramètres!$A$15:$B$18,2,FALSE),0))),0)),0)</f>
        <v>0</v>
      </c>
      <c r="L173" t="n">
        <f>IF(8&lt;=Paramètres!$B$9,MAX(0,IFERROR(N(IF(ISNUMBER(Charges!M173),MAX(0,Charges!M173),IFERROR(VLOOKUP(Charges!M173,Paramètres!$A$15:$B$18,2,FALSE),0))),0)),0)</f>
        <v>0</v>
      </c>
      <c r="M173" t="n">
        <f>IF(9&lt;=Paramètres!$B$9,MAX(0,IFERROR(N(IF(ISNUMBER(Charges!N173),MAX(0,Charges!N173),IFERROR(VLOOKUP(Charges!N173,Paramètres!$A$15:$B$18,2,FALSE),0))),0)),0)</f>
        <v>0</v>
      </c>
      <c r="N173" t="n">
        <f>IF(10&lt;=Paramètres!$B$9,MAX(0,IFERROR(N(IF(ISNUMBER(Charges!O173),MAX(0,Charges!O173),IFERROR(VLOOKUP(Charges!O173,Paramètres!$A$15:$B$18,2,FALSE),0))),0)),0)</f>
        <v>0</v>
      </c>
      <c r="O173" t="n">
        <f>IF(11&lt;=Paramètres!$B$9,MAX(0,IFERROR(N(IF(ISNUMBER(Charges!P173),MAX(0,Charges!P173),IFERROR(VLOOKUP(Charges!P173,Paramètres!$A$15:$B$18,2,FALSE),0))),0)),0)</f>
        <v>0</v>
      </c>
      <c r="P173" t="n">
        <f>IF(12&lt;=Paramètres!$B$9,MAX(0,IFERROR(N(IF(ISNUMBER(Charges!Q173),MAX(0,Charges!Q173),IFERROR(VLOOKUP(Charges!Q173,Paramètres!$A$15:$B$18,2,FALSE),0))),0)),0)</f>
        <v>0</v>
      </c>
      <c r="Q173" t="n">
        <f>IF(13&lt;=Paramètres!$B$9,MAX(0,IFERROR(N(IF(ISNUMBER(Charges!R173),MAX(0,Charges!R173),IFERROR(VLOOKUP(Charges!R173,Paramètres!$A$15:$B$18,2,FALSE),0))),0)),0)</f>
        <v>0</v>
      </c>
      <c r="R173" t="n">
        <f>SUM(E173:Q173)</f>
        <v>0</v>
      </c>
      <c r="S173" t="n">
        <f>IF(IFERROR(VLOOKUP(A173,'Projets'!$A$8:$Z$67,7,FALSE),"")="Engager",1,0)</f>
        <v>0</v>
      </c>
      <c r="T173" t="n">
        <f>IF(OR(Charges!F173="",AND(ISNUMBER(Charges!F173),Charges!F173&gt;=0),Charges!F173="S",Charges!F173="M",Charges!F173="L",Charges!F173="XL"),0,1)+IF(OR(Charges!G173="",AND(ISNUMBER(Charges!G173),Charges!G173&gt;=0),Charges!G173="S",Charges!G173="M",Charges!G173="L",Charges!G173="XL"),0,1)+IF(OR(Charges!H173="",AND(ISNUMBER(Charges!H173),Charges!H173&gt;=0),Charges!H173="S",Charges!H173="M",Charges!H173="L",Charges!H173="XL"),0,1)+IF(OR(Charges!I173="",AND(ISNUMBER(Charges!I173),Charges!I173&gt;=0),Charges!I173="S",Charges!I173="M",Charges!I173="L",Charges!I173="XL"),0,1)+IF(OR(Charges!J173="",AND(ISNUMBER(Charges!J173),Charges!J173&gt;=0),Charges!J173="S",Charges!J173="M",Charges!J173="L",Charges!J173="XL"),0,1)+IF(OR(Charges!K173="",AND(ISNUMBER(Charges!K173),Charges!K173&gt;=0),Charges!K173="S",Charges!K173="M",Charges!K173="L",Charges!K173="XL"),0,1)+IF(OR(Charges!L173="",AND(ISNUMBER(Charges!L173),Charges!L173&gt;=0),Charges!L173="S",Charges!L173="M",Charges!L173="L",Charges!L173="XL"),0,1)+IF(OR(Charges!M173="",AND(ISNUMBER(Charges!M173),Charges!M173&gt;=0),Charges!M173="S",Charges!M173="M",Charges!M173="L",Charges!M173="XL"),0,1)+IF(OR(Charges!N173="",AND(ISNUMBER(Charges!N173),Charges!N173&gt;=0),Charges!N173="S",Charges!N173="M",Charges!N173="L",Charges!N173="XL"),0,1)+IF(OR(Charges!O173="",AND(ISNUMBER(Charges!O173),Charges!O173&gt;=0),Charges!O173="S",Charges!O173="M",Charges!O173="L",Charges!O173="XL"),0,1)+IF(OR(Charges!P173="",AND(ISNUMBER(Charges!P173),Charges!P173&gt;=0),Charges!P173="S",Charges!P173="M",Charges!P173="L",Charges!P173="XL"),0,1)+IF(OR(Charges!Q173="",AND(ISNUMBER(Charges!Q173),Charges!Q173&gt;=0),Charges!Q173="S",Charges!Q173="M",Charges!Q173="L",Charges!Q173="XL"),0,1)+IF(OR(Charges!R173="",AND(ISNUMBER(Charges!R173),Charges!R173&gt;=0),Charges!R173="S",Charges!R173="M",Charges!R173="L",Charges!R173="XL"),0,1)</f>
        <v>0</v>
      </c>
      <c r="U173" t="n">
        <f>IF(AND(1&gt;Paramètres!$B$9,Charges!F173&lt;&gt;"",Charges!F173&lt;&gt;0),1,0)+IF(AND(2&gt;Paramètres!$B$9,Charges!G173&lt;&gt;"",Charges!G173&lt;&gt;0),1,0)+IF(AND(3&gt;Paramètres!$B$9,Charges!H173&lt;&gt;"",Charges!H173&lt;&gt;0),1,0)+IF(AND(4&gt;Paramètres!$B$9,Charges!I173&lt;&gt;"",Charges!I173&lt;&gt;0),1,0)+IF(AND(5&gt;Paramètres!$B$9,Charges!J173&lt;&gt;"",Charges!J173&lt;&gt;0),1,0)+IF(AND(6&gt;Paramètres!$B$9,Charges!K173&lt;&gt;"",Charges!K173&lt;&gt;0),1,0)+IF(AND(7&gt;Paramètres!$B$9,Charges!L173&lt;&gt;"",Charges!L173&lt;&gt;0),1,0)+IF(AND(8&gt;Paramètres!$B$9,Charges!M173&lt;&gt;"",Charges!M173&lt;&gt;0),1,0)+IF(AND(9&gt;Paramètres!$B$9,Charges!N173&lt;&gt;"",Charges!N173&lt;&gt;0),1,0)+IF(AND(10&gt;Paramètres!$B$9,Charges!O173&lt;&gt;"",Charges!O173&lt;&gt;0),1,0)+IF(AND(11&gt;Paramètres!$B$9,Charges!P173&lt;&gt;"",Charges!P173&lt;&gt;0),1,0)+IF(AND(12&gt;Paramètres!$B$9,Charges!Q173&lt;&gt;"",Charges!Q173&lt;&gt;0),1,0)+IF(AND(13&gt;Paramètres!$B$9,Charges!R173&lt;&gt;"",Charges!R173&lt;&gt;0),1,0)</f>
        <v>0</v>
      </c>
      <c r="V173" t="n">
        <f>IF(IFERROR(VLOOKUP(A173,'Projets'!$A$8:$Z$67,5,FALSE),"")="Engager",1,0)</f>
        <v>0</v>
      </c>
      <c r="W173" t="n">
        <f>IF(IFERROR(VLOOKUP(A173,'Projets'!$A$8:$Z$67,6,FALSE),"")="Engager",1,0)</f>
        <v>0</v>
      </c>
      <c r="X173" t="n">
        <f>E173*S173</f>
        <v>0</v>
      </c>
      <c r="Y173" t="n">
        <f>F173*S173</f>
        <v>0</v>
      </c>
      <c r="Z173" t="n">
        <f>G173*S173</f>
        <v>0</v>
      </c>
      <c r="AA173" t="n">
        <f>H173*S173</f>
        <v>0</v>
      </c>
      <c r="AB173" t="n">
        <f>I173*S173</f>
        <v>0</v>
      </c>
      <c r="AC173" t="n">
        <f>J173*S173</f>
        <v>0</v>
      </c>
      <c r="AD173" t="n">
        <f>K173*S173</f>
        <v>0</v>
      </c>
      <c r="AE173" t="n">
        <f>L173*S173</f>
        <v>0</v>
      </c>
      <c r="AF173" t="n">
        <f>M173*S173</f>
        <v>0</v>
      </c>
      <c r="AG173" t="n">
        <f>N173*S173</f>
        <v>0</v>
      </c>
      <c r="AH173" t="n">
        <f>O173*S173</f>
        <v>0</v>
      </c>
      <c r="AI173" t="n">
        <f>P173*S173</f>
        <v>0</v>
      </c>
      <c r="AJ173" t="n">
        <f>Q173*S173</f>
        <v>0</v>
      </c>
      <c r="AK173" t="n">
        <f>E173*V173</f>
        <v>0</v>
      </c>
      <c r="AL173" t="n">
        <f>F173*V173</f>
        <v>0</v>
      </c>
      <c r="AM173" t="n">
        <f>G173*V173</f>
        <v>0</v>
      </c>
      <c r="AN173" t="n">
        <f>H173*V173</f>
        <v>0</v>
      </c>
      <c r="AO173" t="n">
        <f>I173*V173</f>
        <v>0</v>
      </c>
      <c r="AP173" t="n">
        <f>J173*V173</f>
        <v>0</v>
      </c>
      <c r="AQ173" t="n">
        <f>K173*V173</f>
        <v>0</v>
      </c>
      <c r="AR173" t="n">
        <f>L173*V173</f>
        <v>0</v>
      </c>
      <c r="AS173" t="n">
        <f>M173*V173</f>
        <v>0</v>
      </c>
      <c r="AT173" t="n">
        <f>N173*V173</f>
        <v>0</v>
      </c>
      <c r="AU173" t="n">
        <f>O173*V173</f>
        <v>0</v>
      </c>
      <c r="AV173" t="n">
        <f>P173*V173</f>
        <v>0</v>
      </c>
      <c r="AW173" t="n">
        <f>Q173*V173</f>
        <v>0</v>
      </c>
      <c r="AX173" t="n">
        <f>E173*W173</f>
        <v>0</v>
      </c>
      <c r="AY173" t="n">
        <f>F173*W173</f>
        <v>0</v>
      </c>
      <c r="AZ173" t="n">
        <f>G173*W173</f>
        <v>0</v>
      </c>
      <c r="BA173" t="n">
        <f>H173*W173</f>
        <v>0</v>
      </c>
      <c r="BB173" t="n">
        <f>I173*W173</f>
        <v>0</v>
      </c>
      <c r="BC173" t="n">
        <f>J173*W173</f>
        <v>0</v>
      </c>
      <c r="BD173" t="n">
        <f>K173*W173</f>
        <v>0</v>
      </c>
      <c r="BE173" t="n">
        <f>L173*W173</f>
        <v>0</v>
      </c>
      <c r="BF173" t="n">
        <f>M173*W173</f>
        <v>0</v>
      </c>
      <c r="BG173" t="n">
        <f>N173*W173</f>
        <v>0</v>
      </c>
      <c r="BH173" t="n">
        <f>O173*W173</f>
        <v>0</v>
      </c>
      <c r="BI173" t="n">
        <f>P173*W173</f>
        <v>0</v>
      </c>
      <c r="BJ173" t="n">
        <f>Q173*W173</f>
        <v>0</v>
      </c>
    </row>
    <row r="174">
      <c r="A174" t="n">
        <f>Charges!A174</f>
        <v>0</v>
      </c>
      <c r="B174" t="n">
        <f>Charges!C174</f>
        <v>0</v>
      </c>
      <c r="C174" t="str">
        <f>Charges!D174</f>
        <v/>
      </c>
      <c r="E174" t="n">
        <f>IF(1&lt;=Paramètres!$B$9,MAX(0,IFERROR(N(IF(ISNUMBER(Charges!F174),MAX(0,Charges!F174),IFERROR(VLOOKUP(Charges!F174,Paramètres!$A$15:$B$18,2,FALSE),0))),0)),0)</f>
        <v>0</v>
      </c>
      <c r="F174" t="n">
        <f>IF(2&lt;=Paramètres!$B$9,MAX(0,IFERROR(N(IF(ISNUMBER(Charges!G174),MAX(0,Charges!G174),IFERROR(VLOOKUP(Charges!G174,Paramètres!$A$15:$B$18,2,FALSE),0))),0)),0)</f>
        <v>0</v>
      </c>
      <c r="G174" t="n">
        <f>IF(3&lt;=Paramètres!$B$9,MAX(0,IFERROR(N(IF(ISNUMBER(Charges!H174),MAX(0,Charges!H174),IFERROR(VLOOKUP(Charges!H174,Paramètres!$A$15:$B$18,2,FALSE),0))),0)),0)</f>
        <v>0</v>
      </c>
      <c r="H174" t="n">
        <f>IF(4&lt;=Paramètres!$B$9,MAX(0,IFERROR(N(IF(ISNUMBER(Charges!I174),MAX(0,Charges!I174),IFERROR(VLOOKUP(Charges!I174,Paramètres!$A$15:$B$18,2,FALSE),0))),0)),0)</f>
        <v>0</v>
      </c>
      <c r="I174" t="n">
        <f>IF(5&lt;=Paramètres!$B$9,MAX(0,IFERROR(N(IF(ISNUMBER(Charges!J174),MAX(0,Charges!J174),IFERROR(VLOOKUP(Charges!J174,Paramètres!$A$15:$B$18,2,FALSE),0))),0)),0)</f>
        <v>0</v>
      </c>
      <c r="J174" t="n">
        <f>IF(6&lt;=Paramètres!$B$9,MAX(0,IFERROR(N(IF(ISNUMBER(Charges!K174),MAX(0,Charges!K174),IFERROR(VLOOKUP(Charges!K174,Paramètres!$A$15:$B$18,2,FALSE),0))),0)),0)</f>
        <v>0</v>
      </c>
      <c r="K174" t="n">
        <f>IF(7&lt;=Paramètres!$B$9,MAX(0,IFERROR(N(IF(ISNUMBER(Charges!L174),MAX(0,Charges!L174),IFERROR(VLOOKUP(Charges!L174,Paramètres!$A$15:$B$18,2,FALSE),0))),0)),0)</f>
        <v>0</v>
      </c>
      <c r="L174" t="n">
        <f>IF(8&lt;=Paramètres!$B$9,MAX(0,IFERROR(N(IF(ISNUMBER(Charges!M174),MAX(0,Charges!M174),IFERROR(VLOOKUP(Charges!M174,Paramètres!$A$15:$B$18,2,FALSE),0))),0)),0)</f>
        <v>0</v>
      </c>
      <c r="M174" t="n">
        <f>IF(9&lt;=Paramètres!$B$9,MAX(0,IFERROR(N(IF(ISNUMBER(Charges!N174),MAX(0,Charges!N174),IFERROR(VLOOKUP(Charges!N174,Paramètres!$A$15:$B$18,2,FALSE),0))),0)),0)</f>
        <v>0</v>
      </c>
      <c r="N174" t="n">
        <f>IF(10&lt;=Paramètres!$B$9,MAX(0,IFERROR(N(IF(ISNUMBER(Charges!O174),MAX(0,Charges!O174),IFERROR(VLOOKUP(Charges!O174,Paramètres!$A$15:$B$18,2,FALSE),0))),0)),0)</f>
        <v>0</v>
      </c>
      <c r="O174" t="n">
        <f>IF(11&lt;=Paramètres!$B$9,MAX(0,IFERROR(N(IF(ISNUMBER(Charges!P174),MAX(0,Charges!P174),IFERROR(VLOOKUP(Charges!P174,Paramètres!$A$15:$B$18,2,FALSE),0))),0)),0)</f>
        <v>0</v>
      </c>
      <c r="P174" t="n">
        <f>IF(12&lt;=Paramètres!$B$9,MAX(0,IFERROR(N(IF(ISNUMBER(Charges!Q174),MAX(0,Charges!Q174),IFERROR(VLOOKUP(Charges!Q174,Paramètres!$A$15:$B$18,2,FALSE),0))),0)),0)</f>
        <v>0</v>
      </c>
      <c r="Q174" t="n">
        <f>IF(13&lt;=Paramètres!$B$9,MAX(0,IFERROR(N(IF(ISNUMBER(Charges!R174),MAX(0,Charges!R174),IFERROR(VLOOKUP(Charges!R174,Paramètres!$A$15:$B$18,2,FALSE),0))),0)),0)</f>
        <v>0</v>
      </c>
      <c r="R174" t="n">
        <f>SUM(E174:Q174)</f>
        <v>0</v>
      </c>
      <c r="S174" t="n">
        <f>IF(IFERROR(VLOOKUP(A174,'Projets'!$A$8:$Z$67,7,FALSE),"")="Engager",1,0)</f>
        <v>0</v>
      </c>
      <c r="T174" t="n">
        <f>IF(OR(Charges!F174="",AND(ISNUMBER(Charges!F174),Charges!F174&gt;=0),Charges!F174="S",Charges!F174="M",Charges!F174="L",Charges!F174="XL"),0,1)+IF(OR(Charges!G174="",AND(ISNUMBER(Charges!G174),Charges!G174&gt;=0),Charges!G174="S",Charges!G174="M",Charges!G174="L",Charges!G174="XL"),0,1)+IF(OR(Charges!H174="",AND(ISNUMBER(Charges!H174),Charges!H174&gt;=0),Charges!H174="S",Charges!H174="M",Charges!H174="L",Charges!H174="XL"),0,1)+IF(OR(Charges!I174="",AND(ISNUMBER(Charges!I174),Charges!I174&gt;=0),Charges!I174="S",Charges!I174="M",Charges!I174="L",Charges!I174="XL"),0,1)+IF(OR(Charges!J174="",AND(ISNUMBER(Charges!J174),Charges!J174&gt;=0),Charges!J174="S",Charges!J174="M",Charges!J174="L",Charges!J174="XL"),0,1)+IF(OR(Charges!K174="",AND(ISNUMBER(Charges!K174),Charges!K174&gt;=0),Charges!K174="S",Charges!K174="M",Charges!K174="L",Charges!K174="XL"),0,1)+IF(OR(Charges!L174="",AND(ISNUMBER(Charges!L174),Charges!L174&gt;=0),Charges!L174="S",Charges!L174="M",Charges!L174="L",Charges!L174="XL"),0,1)+IF(OR(Charges!M174="",AND(ISNUMBER(Charges!M174),Charges!M174&gt;=0),Charges!M174="S",Charges!M174="M",Charges!M174="L",Charges!M174="XL"),0,1)+IF(OR(Charges!N174="",AND(ISNUMBER(Charges!N174),Charges!N174&gt;=0),Charges!N174="S",Charges!N174="M",Charges!N174="L",Charges!N174="XL"),0,1)+IF(OR(Charges!O174="",AND(ISNUMBER(Charges!O174),Charges!O174&gt;=0),Charges!O174="S",Charges!O174="M",Charges!O174="L",Charges!O174="XL"),0,1)+IF(OR(Charges!P174="",AND(ISNUMBER(Charges!P174),Charges!P174&gt;=0),Charges!P174="S",Charges!P174="M",Charges!P174="L",Charges!P174="XL"),0,1)+IF(OR(Charges!Q174="",AND(ISNUMBER(Charges!Q174),Charges!Q174&gt;=0),Charges!Q174="S",Charges!Q174="M",Charges!Q174="L",Charges!Q174="XL"),0,1)+IF(OR(Charges!R174="",AND(ISNUMBER(Charges!R174),Charges!R174&gt;=0),Charges!R174="S",Charges!R174="M",Charges!R174="L",Charges!R174="XL"),0,1)</f>
        <v>0</v>
      </c>
      <c r="U174" t="n">
        <f>IF(AND(1&gt;Paramètres!$B$9,Charges!F174&lt;&gt;"",Charges!F174&lt;&gt;0),1,0)+IF(AND(2&gt;Paramètres!$B$9,Charges!G174&lt;&gt;"",Charges!G174&lt;&gt;0),1,0)+IF(AND(3&gt;Paramètres!$B$9,Charges!H174&lt;&gt;"",Charges!H174&lt;&gt;0),1,0)+IF(AND(4&gt;Paramètres!$B$9,Charges!I174&lt;&gt;"",Charges!I174&lt;&gt;0),1,0)+IF(AND(5&gt;Paramètres!$B$9,Charges!J174&lt;&gt;"",Charges!J174&lt;&gt;0),1,0)+IF(AND(6&gt;Paramètres!$B$9,Charges!K174&lt;&gt;"",Charges!K174&lt;&gt;0),1,0)+IF(AND(7&gt;Paramètres!$B$9,Charges!L174&lt;&gt;"",Charges!L174&lt;&gt;0),1,0)+IF(AND(8&gt;Paramètres!$B$9,Charges!M174&lt;&gt;"",Charges!M174&lt;&gt;0),1,0)+IF(AND(9&gt;Paramètres!$B$9,Charges!N174&lt;&gt;"",Charges!N174&lt;&gt;0),1,0)+IF(AND(10&gt;Paramètres!$B$9,Charges!O174&lt;&gt;"",Charges!O174&lt;&gt;0),1,0)+IF(AND(11&gt;Paramètres!$B$9,Charges!P174&lt;&gt;"",Charges!P174&lt;&gt;0),1,0)+IF(AND(12&gt;Paramètres!$B$9,Charges!Q174&lt;&gt;"",Charges!Q174&lt;&gt;0),1,0)+IF(AND(13&gt;Paramètres!$B$9,Charges!R174&lt;&gt;"",Charges!R174&lt;&gt;0),1,0)</f>
        <v>0</v>
      </c>
      <c r="V174" t="n">
        <f>IF(IFERROR(VLOOKUP(A174,'Projets'!$A$8:$Z$67,5,FALSE),"")="Engager",1,0)</f>
        <v>0</v>
      </c>
      <c r="W174" t="n">
        <f>IF(IFERROR(VLOOKUP(A174,'Projets'!$A$8:$Z$67,6,FALSE),"")="Engager",1,0)</f>
        <v>0</v>
      </c>
      <c r="X174" t="n">
        <f>E174*S174</f>
        <v>0</v>
      </c>
      <c r="Y174" t="n">
        <f>F174*S174</f>
        <v>0</v>
      </c>
      <c r="Z174" t="n">
        <f>G174*S174</f>
        <v>0</v>
      </c>
      <c r="AA174" t="n">
        <f>H174*S174</f>
        <v>0</v>
      </c>
      <c r="AB174" t="n">
        <f>I174*S174</f>
        <v>0</v>
      </c>
      <c r="AC174" t="n">
        <f>J174*S174</f>
        <v>0</v>
      </c>
      <c r="AD174" t="n">
        <f>K174*S174</f>
        <v>0</v>
      </c>
      <c r="AE174" t="n">
        <f>L174*S174</f>
        <v>0</v>
      </c>
      <c r="AF174" t="n">
        <f>M174*S174</f>
        <v>0</v>
      </c>
      <c r="AG174" t="n">
        <f>N174*S174</f>
        <v>0</v>
      </c>
      <c r="AH174" t="n">
        <f>O174*S174</f>
        <v>0</v>
      </c>
      <c r="AI174" t="n">
        <f>P174*S174</f>
        <v>0</v>
      </c>
      <c r="AJ174" t="n">
        <f>Q174*S174</f>
        <v>0</v>
      </c>
      <c r="AK174" t="n">
        <f>E174*V174</f>
        <v>0</v>
      </c>
      <c r="AL174" t="n">
        <f>F174*V174</f>
        <v>0</v>
      </c>
      <c r="AM174" t="n">
        <f>G174*V174</f>
        <v>0</v>
      </c>
      <c r="AN174" t="n">
        <f>H174*V174</f>
        <v>0</v>
      </c>
      <c r="AO174" t="n">
        <f>I174*V174</f>
        <v>0</v>
      </c>
      <c r="AP174" t="n">
        <f>J174*V174</f>
        <v>0</v>
      </c>
      <c r="AQ174" t="n">
        <f>K174*V174</f>
        <v>0</v>
      </c>
      <c r="AR174" t="n">
        <f>L174*V174</f>
        <v>0</v>
      </c>
      <c r="AS174" t="n">
        <f>M174*V174</f>
        <v>0</v>
      </c>
      <c r="AT174" t="n">
        <f>N174*V174</f>
        <v>0</v>
      </c>
      <c r="AU174" t="n">
        <f>O174*V174</f>
        <v>0</v>
      </c>
      <c r="AV174" t="n">
        <f>P174*V174</f>
        <v>0</v>
      </c>
      <c r="AW174" t="n">
        <f>Q174*V174</f>
        <v>0</v>
      </c>
      <c r="AX174" t="n">
        <f>E174*W174</f>
        <v>0</v>
      </c>
      <c r="AY174" t="n">
        <f>F174*W174</f>
        <v>0</v>
      </c>
      <c r="AZ174" t="n">
        <f>G174*W174</f>
        <v>0</v>
      </c>
      <c r="BA174" t="n">
        <f>H174*W174</f>
        <v>0</v>
      </c>
      <c r="BB174" t="n">
        <f>I174*W174</f>
        <v>0</v>
      </c>
      <c r="BC174" t="n">
        <f>J174*W174</f>
        <v>0</v>
      </c>
      <c r="BD174" t="n">
        <f>K174*W174</f>
        <v>0</v>
      </c>
      <c r="BE174" t="n">
        <f>L174*W174</f>
        <v>0</v>
      </c>
      <c r="BF174" t="n">
        <f>M174*W174</f>
        <v>0</v>
      </c>
      <c r="BG174" t="n">
        <f>N174*W174</f>
        <v>0</v>
      </c>
      <c r="BH174" t="n">
        <f>O174*W174</f>
        <v>0</v>
      </c>
      <c r="BI174" t="n">
        <f>P174*W174</f>
        <v>0</v>
      </c>
      <c r="BJ174" t="n">
        <f>Q174*W174</f>
        <v>0</v>
      </c>
    </row>
    <row r="175">
      <c r="A175" t="n">
        <f>Charges!A175</f>
        <v>0</v>
      </c>
      <c r="B175" t="n">
        <f>Charges!C175</f>
        <v>0</v>
      </c>
      <c r="C175" t="str">
        <f>Charges!D175</f>
        <v/>
      </c>
      <c r="E175" t="n">
        <f>IF(1&lt;=Paramètres!$B$9,MAX(0,IFERROR(N(IF(ISNUMBER(Charges!F175),MAX(0,Charges!F175),IFERROR(VLOOKUP(Charges!F175,Paramètres!$A$15:$B$18,2,FALSE),0))),0)),0)</f>
        <v>0</v>
      </c>
      <c r="F175" t="n">
        <f>IF(2&lt;=Paramètres!$B$9,MAX(0,IFERROR(N(IF(ISNUMBER(Charges!G175),MAX(0,Charges!G175),IFERROR(VLOOKUP(Charges!G175,Paramètres!$A$15:$B$18,2,FALSE),0))),0)),0)</f>
        <v>0</v>
      </c>
      <c r="G175" t="n">
        <f>IF(3&lt;=Paramètres!$B$9,MAX(0,IFERROR(N(IF(ISNUMBER(Charges!H175),MAX(0,Charges!H175),IFERROR(VLOOKUP(Charges!H175,Paramètres!$A$15:$B$18,2,FALSE),0))),0)),0)</f>
        <v>0</v>
      </c>
      <c r="H175" t="n">
        <f>IF(4&lt;=Paramètres!$B$9,MAX(0,IFERROR(N(IF(ISNUMBER(Charges!I175),MAX(0,Charges!I175),IFERROR(VLOOKUP(Charges!I175,Paramètres!$A$15:$B$18,2,FALSE),0))),0)),0)</f>
        <v>0</v>
      </c>
      <c r="I175" t="n">
        <f>IF(5&lt;=Paramètres!$B$9,MAX(0,IFERROR(N(IF(ISNUMBER(Charges!J175),MAX(0,Charges!J175),IFERROR(VLOOKUP(Charges!J175,Paramètres!$A$15:$B$18,2,FALSE),0))),0)),0)</f>
        <v>0</v>
      </c>
      <c r="J175" t="n">
        <f>IF(6&lt;=Paramètres!$B$9,MAX(0,IFERROR(N(IF(ISNUMBER(Charges!K175),MAX(0,Charges!K175),IFERROR(VLOOKUP(Charges!K175,Paramètres!$A$15:$B$18,2,FALSE),0))),0)),0)</f>
        <v>0</v>
      </c>
      <c r="K175" t="n">
        <f>IF(7&lt;=Paramètres!$B$9,MAX(0,IFERROR(N(IF(ISNUMBER(Charges!L175),MAX(0,Charges!L175),IFERROR(VLOOKUP(Charges!L175,Paramètres!$A$15:$B$18,2,FALSE),0))),0)),0)</f>
        <v>0</v>
      </c>
      <c r="L175" t="n">
        <f>IF(8&lt;=Paramètres!$B$9,MAX(0,IFERROR(N(IF(ISNUMBER(Charges!M175),MAX(0,Charges!M175),IFERROR(VLOOKUP(Charges!M175,Paramètres!$A$15:$B$18,2,FALSE),0))),0)),0)</f>
        <v>0</v>
      </c>
      <c r="M175" t="n">
        <f>IF(9&lt;=Paramètres!$B$9,MAX(0,IFERROR(N(IF(ISNUMBER(Charges!N175),MAX(0,Charges!N175),IFERROR(VLOOKUP(Charges!N175,Paramètres!$A$15:$B$18,2,FALSE),0))),0)),0)</f>
        <v>0</v>
      </c>
      <c r="N175" t="n">
        <f>IF(10&lt;=Paramètres!$B$9,MAX(0,IFERROR(N(IF(ISNUMBER(Charges!O175),MAX(0,Charges!O175),IFERROR(VLOOKUP(Charges!O175,Paramètres!$A$15:$B$18,2,FALSE),0))),0)),0)</f>
        <v>0</v>
      </c>
      <c r="O175" t="n">
        <f>IF(11&lt;=Paramètres!$B$9,MAX(0,IFERROR(N(IF(ISNUMBER(Charges!P175),MAX(0,Charges!P175),IFERROR(VLOOKUP(Charges!P175,Paramètres!$A$15:$B$18,2,FALSE),0))),0)),0)</f>
        <v>0</v>
      </c>
      <c r="P175" t="n">
        <f>IF(12&lt;=Paramètres!$B$9,MAX(0,IFERROR(N(IF(ISNUMBER(Charges!Q175),MAX(0,Charges!Q175),IFERROR(VLOOKUP(Charges!Q175,Paramètres!$A$15:$B$18,2,FALSE),0))),0)),0)</f>
        <v>0</v>
      </c>
      <c r="Q175" t="n">
        <f>IF(13&lt;=Paramètres!$B$9,MAX(0,IFERROR(N(IF(ISNUMBER(Charges!R175),MAX(0,Charges!R175),IFERROR(VLOOKUP(Charges!R175,Paramètres!$A$15:$B$18,2,FALSE),0))),0)),0)</f>
        <v>0</v>
      </c>
      <c r="R175" t="n">
        <f>SUM(E175:Q175)</f>
        <v>0</v>
      </c>
      <c r="S175" t="n">
        <f>IF(IFERROR(VLOOKUP(A175,'Projets'!$A$8:$Z$67,7,FALSE),"")="Engager",1,0)</f>
        <v>0</v>
      </c>
      <c r="T175" t="n">
        <f>IF(OR(Charges!F175="",AND(ISNUMBER(Charges!F175),Charges!F175&gt;=0),Charges!F175="S",Charges!F175="M",Charges!F175="L",Charges!F175="XL"),0,1)+IF(OR(Charges!G175="",AND(ISNUMBER(Charges!G175),Charges!G175&gt;=0),Charges!G175="S",Charges!G175="M",Charges!G175="L",Charges!G175="XL"),0,1)+IF(OR(Charges!H175="",AND(ISNUMBER(Charges!H175),Charges!H175&gt;=0),Charges!H175="S",Charges!H175="M",Charges!H175="L",Charges!H175="XL"),0,1)+IF(OR(Charges!I175="",AND(ISNUMBER(Charges!I175),Charges!I175&gt;=0),Charges!I175="S",Charges!I175="M",Charges!I175="L",Charges!I175="XL"),0,1)+IF(OR(Charges!J175="",AND(ISNUMBER(Charges!J175),Charges!J175&gt;=0),Charges!J175="S",Charges!J175="M",Charges!J175="L",Charges!J175="XL"),0,1)+IF(OR(Charges!K175="",AND(ISNUMBER(Charges!K175),Charges!K175&gt;=0),Charges!K175="S",Charges!K175="M",Charges!K175="L",Charges!K175="XL"),0,1)+IF(OR(Charges!L175="",AND(ISNUMBER(Charges!L175),Charges!L175&gt;=0),Charges!L175="S",Charges!L175="M",Charges!L175="L",Charges!L175="XL"),0,1)+IF(OR(Charges!M175="",AND(ISNUMBER(Charges!M175),Charges!M175&gt;=0),Charges!M175="S",Charges!M175="M",Charges!M175="L",Charges!M175="XL"),0,1)+IF(OR(Charges!N175="",AND(ISNUMBER(Charges!N175),Charges!N175&gt;=0),Charges!N175="S",Charges!N175="M",Charges!N175="L",Charges!N175="XL"),0,1)+IF(OR(Charges!O175="",AND(ISNUMBER(Charges!O175),Charges!O175&gt;=0),Charges!O175="S",Charges!O175="M",Charges!O175="L",Charges!O175="XL"),0,1)+IF(OR(Charges!P175="",AND(ISNUMBER(Charges!P175),Charges!P175&gt;=0),Charges!P175="S",Charges!P175="M",Charges!P175="L",Charges!P175="XL"),0,1)+IF(OR(Charges!Q175="",AND(ISNUMBER(Charges!Q175),Charges!Q175&gt;=0),Charges!Q175="S",Charges!Q175="M",Charges!Q175="L",Charges!Q175="XL"),0,1)+IF(OR(Charges!R175="",AND(ISNUMBER(Charges!R175),Charges!R175&gt;=0),Charges!R175="S",Charges!R175="M",Charges!R175="L",Charges!R175="XL"),0,1)</f>
        <v>0</v>
      </c>
      <c r="U175" t="n">
        <f>IF(AND(1&gt;Paramètres!$B$9,Charges!F175&lt;&gt;"",Charges!F175&lt;&gt;0),1,0)+IF(AND(2&gt;Paramètres!$B$9,Charges!G175&lt;&gt;"",Charges!G175&lt;&gt;0),1,0)+IF(AND(3&gt;Paramètres!$B$9,Charges!H175&lt;&gt;"",Charges!H175&lt;&gt;0),1,0)+IF(AND(4&gt;Paramètres!$B$9,Charges!I175&lt;&gt;"",Charges!I175&lt;&gt;0),1,0)+IF(AND(5&gt;Paramètres!$B$9,Charges!J175&lt;&gt;"",Charges!J175&lt;&gt;0),1,0)+IF(AND(6&gt;Paramètres!$B$9,Charges!K175&lt;&gt;"",Charges!K175&lt;&gt;0),1,0)+IF(AND(7&gt;Paramètres!$B$9,Charges!L175&lt;&gt;"",Charges!L175&lt;&gt;0),1,0)+IF(AND(8&gt;Paramètres!$B$9,Charges!M175&lt;&gt;"",Charges!M175&lt;&gt;0),1,0)+IF(AND(9&gt;Paramètres!$B$9,Charges!N175&lt;&gt;"",Charges!N175&lt;&gt;0),1,0)+IF(AND(10&gt;Paramètres!$B$9,Charges!O175&lt;&gt;"",Charges!O175&lt;&gt;0),1,0)+IF(AND(11&gt;Paramètres!$B$9,Charges!P175&lt;&gt;"",Charges!P175&lt;&gt;0),1,0)+IF(AND(12&gt;Paramètres!$B$9,Charges!Q175&lt;&gt;"",Charges!Q175&lt;&gt;0),1,0)+IF(AND(13&gt;Paramètres!$B$9,Charges!R175&lt;&gt;"",Charges!R175&lt;&gt;0),1,0)</f>
        <v>0</v>
      </c>
      <c r="V175" t="n">
        <f>IF(IFERROR(VLOOKUP(A175,'Projets'!$A$8:$Z$67,5,FALSE),"")="Engager",1,0)</f>
        <v>0</v>
      </c>
      <c r="W175" t="n">
        <f>IF(IFERROR(VLOOKUP(A175,'Projets'!$A$8:$Z$67,6,FALSE),"")="Engager",1,0)</f>
        <v>0</v>
      </c>
      <c r="X175" t="n">
        <f>E175*S175</f>
        <v>0</v>
      </c>
      <c r="Y175" t="n">
        <f>F175*S175</f>
        <v>0</v>
      </c>
      <c r="Z175" t="n">
        <f>G175*S175</f>
        <v>0</v>
      </c>
      <c r="AA175" t="n">
        <f>H175*S175</f>
        <v>0</v>
      </c>
      <c r="AB175" t="n">
        <f>I175*S175</f>
        <v>0</v>
      </c>
      <c r="AC175" t="n">
        <f>J175*S175</f>
        <v>0</v>
      </c>
      <c r="AD175" t="n">
        <f>K175*S175</f>
        <v>0</v>
      </c>
      <c r="AE175" t="n">
        <f>L175*S175</f>
        <v>0</v>
      </c>
      <c r="AF175" t="n">
        <f>M175*S175</f>
        <v>0</v>
      </c>
      <c r="AG175" t="n">
        <f>N175*S175</f>
        <v>0</v>
      </c>
      <c r="AH175" t="n">
        <f>O175*S175</f>
        <v>0</v>
      </c>
      <c r="AI175" t="n">
        <f>P175*S175</f>
        <v>0</v>
      </c>
      <c r="AJ175" t="n">
        <f>Q175*S175</f>
        <v>0</v>
      </c>
      <c r="AK175" t="n">
        <f>E175*V175</f>
        <v>0</v>
      </c>
      <c r="AL175" t="n">
        <f>F175*V175</f>
        <v>0</v>
      </c>
      <c r="AM175" t="n">
        <f>G175*V175</f>
        <v>0</v>
      </c>
      <c r="AN175" t="n">
        <f>H175*V175</f>
        <v>0</v>
      </c>
      <c r="AO175" t="n">
        <f>I175*V175</f>
        <v>0</v>
      </c>
      <c r="AP175" t="n">
        <f>J175*V175</f>
        <v>0</v>
      </c>
      <c r="AQ175" t="n">
        <f>K175*V175</f>
        <v>0</v>
      </c>
      <c r="AR175" t="n">
        <f>L175*V175</f>
        <v>0</v>
      </c>
      <c r="AS175" t="n">
        <f>M175*V175</f>
        <v>0</v>
      </c>
      <c r="AT175" t="n">
        <f>N175*V175</f>
        <v>0</v>
      </c>
      <c r="AU175" t="n">
        <f>O175*V175</f>
        <v>0</v>
      </c>
      <c r="AV175" t="n">
        <f>P175*V175</f>
        <v>0</v>
      </c>
      <c r="AW175" t="n">
        <f>Q175*V175</f>
        <v>0</v>
      </c>
      <c r="AX175" t="n">
        <f>E175*W175</f>
        <v>0</v>
      </c>
      <c r="AY175" t="n">
        <f>F175*W175</f>
        <v>0</v>
      </c>
      <c r="AZ175" t="n">
        <f>G175*W175</f>
        <v>0</v>
      </c>
      <c r="BA175" t="n">
        <f>H175*W175</f>
        <v>0</v>
      </c>
      <c r="BB175" t="n">
        <f>I175*W175</f>
        <v>0</v>
      </c>
      <c r="BC175" t="n">
        <f>J175*W175</f>
        <v>0</v>
      </c>
      <c r="BD175" t="n">
        <f>K175*W175</f>
        <v>0</v>
      </c>
      <c r="BE175" t="n">
        <f>L175*W175</f>
        <v>0</v>
      </c>
      <c r="BF175" t="n">
        <f>M175*W175</f>
        <v>0</v>
      </c>
      <c r="BG175" t="n">
        <f>N175*W175</f>
        <v>0</v>
      </c>
      <c r="BH175" t="n">
        <f>O175*W175</f>
        <v>0</v>
      </c>
      <c r="BI175" t="n">
        <f>P175*W175</f>
        <v>0</v>
      </c>
      <c r="BJ175" t="n">
        <f>Q175*W175</f>
        <v>0</v>
      </c>
    </row>
    <row r="176">
      <c r="A176" t="n">
        <f>Charges!A176</f>
        <v>0</v>
      </c>
      <c r="B176" t="n">
        <f>Charges!C176</f>
        <v>0</v>
      </c>
      <c r="C176" t="str">
        <f>Charges!D176</f>
        <v/>
      </c>
      <c r="E176" t="n">
        <f>IF(1&lt;=Paramètres!$B$9,MAX(0,IFERROR(N(IF(ISNUMBER(Charges!F176),MAX(0,Charges!F176),IFERROR(VLOOKUP(Charges!F176,Paramètres!$A$15:$B$18,2,FALSE),0))),0)),0)</f>
        <v>0</v>
      </c>
      <c r="F176" t="n">
        <f>IF(2&lt;=Paramètres!$B$9,MAX(0,IFERROR(N(IF(ISNUMBER(Charges!G176),MAX(0,Charges!G176),IFERROR(VLOOKUP(Charges!G176,Paramètres!$A$15:$B$18,2,FALSE),0))),0)),0)</f>
        <v>0</v>
      </c>
      <c r="G176" t="n">
        <f>IF(3&lt;=Paramètres!$B$9,MAX(0,IFERROR(N(IF(ISNUMBER(Charges!H176),MAX(0,Charges!H176),IFERROR(VLOOKUP(Charges!H176,Paramètres!$A$15:$B$18,2,FALSE),0))),0)),0)</f>
        <v>0</v>
      </c>
      <c r="H176" t="n">
        <f>IF(4&lt;=Paramètres!$B$9,MAX(0,IFERROR(N(IF(ISNUMBER(Charges!I176),MAX(0,Charges!I176),IFERROR(VLOOKUP(Charges!I176,Paramètres!$A$15:$B$18,2,FALSE),0))),0)),0)</f>
        <v>0</v>
      </c>
      <c r="I176" t="n">
        <f>IF(5&lt;=Paramètres!$B$9,MAX(0,IFERROR(N(IF(ISNUMBER(Charges!J176),MAX(0,Charges!J176),IFERROR(VLOOKUP(Charges!J176,Paramètres!$A$15:$B$18,2,FALSE),0))),0)),0)</f>
        <v>0</v>
      </c>
      <c r="J176" t="n">
        <f>IF(6&lt;=Paramètres!$B$9,MAX(0,IFERROR(N(IF(ISNUMBER(Charges!K176),MAX(0,Charges!K176),IFERROR(VLOOKUP(Charges!K176,Paramètres!$A$15:$B$18,2,FALSE),0))),0)),0)</f>
        <v>0</v>
      </c>
      <c r="K176" t="n">
        <f>IF(7&lt;=Paramètres!$B$9,MAX(0,IFERROR(N(IF(ISNUMBER(Charges!L176),MAX(0,Charges!L176),IFERROR(VLOOKUP(Charges!L176,Paramètres!$A$15:$B$18,2,FALSE),0))),0)),0)</f>
        <v>0</v>
      </c>
      <c r="L176" t="n">
        <f>IF(8&lt;=Paramètres!$B$9,MAX(0,IFERROR(N(IF(ISNUMBER(Charges!M176),MAX(0,Charges!M176),IFERROR(VLOOKUP(Charges!M176,Paramètres!$A$15:$B$18,2,FALSE),0))),0)),0)</f>
        <v>0</v>
      </c>
      <c r="M176" t="n">
        <f>IF(9&lt;=Paramètres!$B$9,MAX(0,IFERROR(N(IF(ISNUMBER(Charges!N176),MAX(0,Charges!N176),IFERROR(VLOOKUP(Charges!N176,Paramètres!$A$15:$B$18,2,FALSE),0))),0)),0)</f>
        <v>0</v>
      </c>
      <c r="N176" t="n">
        <f>IF(10&lt;=Paramètres!$B$9,MAX(0,IFERROR(N(IF(ISNUMBER(Charges!O176),MAX(0,Charges!O176),IFERROR(VLOOKUP(Charges!O176,Paramètres!$A$15:$B$18,2,FALSE),0))),0)),0)</f>
        <v>0</v>
      </c>
      <c r="O176" t="n">
        <f>IF(11&lt;=Paramètres!$B$9,MAX(0,IFERROR(N(IF(ISNUMBER(Charges!P176),MAX(0,Charges!P176),IFERROR(VLOOKUP(Charges!P176,Paramètres!$A$15:$B$18,2,FALSE),0))),0)),0)</f>
        <v>0</v>
      </c>
      <c r="P176" t="n">
        <f>IF(12&lt;=Paramètres!$B$9,MAX(0,IFERROR(N(IF(ISNUMBER(Charges!Q176),MAX(0,Charges!Q176),IFERROR(VLOOKUP(Charges!Q176,Paramètres!$A$15:$B$18,2,FALSE),0))),0)),0)</f>
        <v>0</v>
      </c>
      <c r="Q176" t="n">
        <f>IF(13&lt;=Paramètres!$B$9,MAX(0,IFERROR(N(IF(ISNUMBER(Charges!R176),MAX(0,Charges!R176),IFERROR(VLOOKUP(Charges!R176,Paramètres!$A$15:$B$18,2,FALSE),0))),0)),0)</f>
        <v>0</v>
      </c>
      <c r="R176" t="n">
        <f>SUM(E176:Q176)</f>
        <v>0</v>
      </c>
      <c r="S176" t="n">
        <f>IF(IFERROR(VLOOKUP(A176,'Projets'!$A$8:$Z$67,7,FALSE),"")="Engager",1,0)</f>
        <v>0</v>
      </c>
      <c r="T176" t="n">
        <f>IF(OR(Charges!F176="",AND(ISNUMBER(Charges!F176),Charges!F176&gt;=0),Charges!F176="S",Charges!F176="M",Charges!F176="L",Charges!F176="XL"),0,1)+IF(OR(Charges!G176="",AND(ISNUMBER(Charges!G176),Charges!G176&gt;=0),Charges!G176="S",Charges!G176="M",Charges!G176="L",Charges!G176="XL"),0,1)+IF(OR(Charges!H176="",AND(ISNUMBER(Charges!H176),Charges!H176&gt;=0),Charges!H176="S",Charges!H176="M",Charges!H176="L",Charges!H176="XL"),0,1)+IF(OR(Charges!I176="",AND(ISNUMBER(Charges!I176),Charges!I176&gt;=0),Charges!I176="S",Charges!I176="M",Charges!I176="L",Charges!I176="XL"),0,1)+IF(OR(Charges!J176="",AND(ISNUMBER(Charges!J176),Charges!J176&gt;=0),Charges!J176="S",Charges!J176="M",Charges!J176="L",Charges!J176="XL"),0,1)+IF(OR(Charges!K176="",AND(ISNUMBER(Charges!K176),Charges!K176&gt;=0),Charges!K176="S",Charges!K176="M",Charges!K176="L",Charges!K176="XL"),0,1)+IF(OR(Charges!L176="",AND(ISNUMBER(Charges!L176),Charges!L176&gt;=0),Charges!L176="S",Charges!L176="M",Charges!L176="L",Charges!L176="XL"),0,1)+IF(OR(Charges!M176="",AND(ISNUMBER(Charges!M176),Charges!M176&gt;=0),Charges!M176="S",Charges!M176="M",Charges!M176="L",Charges!M176="XL"),0,1)+IF(OR(Charges!N176="",AND(ISNUMBER(Charges!N176),Charges!N176&gt;=0),Charges!N176="S",Charges!N176="M",Charges!N176="L",Charges!N176="XL"),0,1)+IF(OR(Charges!O176="",AND(ISNUMBER(Charges!O176),Charges!O176&gt;=0),Charges!O176="S",Charges!O176="M",Charges!O176="L",Charges!O176="XL"),0,1)+IF(OR(Charges!P176="",AND(ISNUMBER(Charges!P176),Charges!P176&gt;=0),Charges!P176="S",Charges!P176="M",Charges!P176="L",Charges!P176="XL"),0,1)+IF(OR(Charges!Q176="",AND(ISNUMBER(Charges!Q176),Charges!Q176&gt;=0),Charges!Q176="S",Charges!Q176="M",Charges!Q176="L",Charges!Q176="XL"),0,1)+IF(OR(Charges!R176="",AND(ISNUMBER(Charges!R176),Charges!R176&gt;=0),Charges!R176="S",Charges!R176="M",Charges!R176="L",Charges!R176="XL"),0,1)</f>
        <v>0</v>
      </c>
      <c r="U176" t="n">
        <f>IF(AND(1&gt;Paramètres!$B$9,Charges!F176&lt;&gt;"",Charges!F176&lt;&gt;0),1,0)+IF(AND(2&gt;Paramètres!$B$9,Charges!G176&lt;&gt;"",Charges!G176&lt;&gt;0),1,0)+IF(AND(3&gt;Paramètres!$B$9,Charges!H176&lt;&gt;"",Charges!H176&lt;&gt;0),1,0)+IF(AND(4&gt;Paramètres!$B$9,Charges!I176&lt;&gt;"",Charges!I176&lt;&gt;0),1,0)+IF(AND(5&gt;Paramètres!$B$9,Charges!J176&lt;&gt;"",Charges!J176&lt;&gt;0),1,0)+IF(AND(6&gt;Paramètres!$B$9,Charges!K176&lt;&gt;"",Charges!K176&lt;&gt;0),1,0)+IF(AND(7&gt;Paramètres!$B$9,Charges!L176&lt;&gt;"",Charges!L176&lt;&gt;0),1,0)+IF(AND(8&gt;Paramètres!$B$9,Charges!M176&lt;&gt;"",Charges!M176&lt;&gt;0),1,0)+IF(AND(9&gt;Paramètres!$B$9,Charges!N176&lt;&gt;"",Charges!N176&lt;&gt;0),1,0)+IF(AND(10&gt;Paramètres!$B$9,Charges!O176&lt;&gt;"",Charges!O176&lt;&gt;0),1,0)+IF(AND(11&gt;Paramètres!$B$9,Charges!P176&lt;&gt;"",Charges!P176&lt;&gt;0),1,0)+IF(AND(12&gt;Paramètres!$B$9,Charges!Q176&lt;&gt;"",Charges!Q176&lt;&gt;0),1,0)+IF(AND(13&gt;Paramètres!$B$9,Charges!R176&lt;&gt;"",Charges!R176&lt;&gt;0),1,0)</f>
        <v>0</v>
      </c>
      <c r="V176" t="n">
        <f>IF(IFERROR(VLOOKUP(A176,'Projets'!$A$8:$Z$67,5,FALSE),"")="Engager",1,0)</f>
        <v>0</v>
      </c>
      <c r="W176" t="n">
        <f>IF(IFERROR(VLOOKUP(A176,'Projets'!$A$8:$Z$67,6,FALSE),"")="Engager",1,0)</f>
        <v>0</v>
      </c>
      <c r="X176" t="n">
        <f>E176*S176</f>
        <v>0</v>
      </c>
      <c r="Y176" t="n">
        <f>F176*S176</f>
        <v>0</v>
      </c>
      <c r="Z176" t="n">
        <f>G176*S176</f>
        <v>0</v>
      </c>
      <c r="AA176" t="n">
        <f>H176*S176</f>
        <v>0</v>
      </c>
      <c r="AB176" t="n">
        <f>I176*S176</f>
        <v>0</v>
      </c>
      <c r="AC176" t="n">
        <f>J176*S176</f>
        <v>0</v>
      </c>
      <c r="AD176" t="n">
        <f>K176*S176</f>
        <v>0</v>
      </c>
      <c r="AE176" t="n">
        <f>L176*S176</f>
        <v>0</v>
      </c>
      <c r="AF176" t="n">
        <f>M176*S176</f>
        <v>0</v>
      </c>
      <c r="AG176" t="n">
        <f>N176*S176</f>
        <v>0</v>
      </c>
      <c r="AH176" t="n">
        <f>O176*S176</f>
        <v>0</v>
      </c>
      <c r="AI176" t="n">
        <f>P176*S176</f>
        <v>0</v>
      </c>
      <c r="AJ176" t="n">
        <f>Q176*S176</f>
        <v>0</v>
      </c>
      <c r="AK176" t="n">
        <f>E176*V176</f>
        <v>0</v>
      </c>
      <c r="AL176" t="n">
        <f>F176*V176</f>
        <v>0</v>
      </c>
      <c r="AM176" t="n">
        <f>G176*V176</f>
        <v>0</v>
      </c>
      <c r="AN176" t="n">
        <f>H176*V176</f>
        <v>0</v>
      </c>
      <c r="AO176" t="n">
        <f>I176*V176</f>
        <v>0</v>
      </c>
      <c r="AP176" t="n">
        <f>J176*V176</f>
        <v>0</v>
      </c>
      <c r="AQ176" t="n">
        <f>K176*V176</f>
        <v>0</v>
      </c>
      <c r="AR176" t="n">
        <f>L176*V176</f>
        <v>0</v>
      </c>
      <c r="AS176" t="n">
        <f>M176*V176</f>
        <v>0</v>
      </c>
      <c r="AT176" t="n">
        <f>N176*V176</f>
        <v>0</v>
      </c>
      <c r="AU176" t="n">
        <f>O176*V176</f>
        <v>0</v>
      </c>
      <c r="AV176" t="n">
        <f>P176*V176</f>
        <v>0</v>
      </c>
      <c r="AW176" t="n">
        <f>Q176*V176</f>
        <v>0</v>
      </c>
      <c r="AX176" t="n">
        <f>E176*W176</f>
        <v>0</v>
      </c>
      <c r="AY176" t="n">
        <f>F176*W176</f>
        <v>0</v>
      </c>
      <c r="AZ176" t="n">
        <f>G176*W176</f>
        <v>0</v>
      </c>
      <c r="BA176" t="n">
        <f>H176*W176</f>
        <v>0</v>
      </c>
      <c r="BB176" t="n">
        <f>I176*W176</f>
        <v>0</v>
      </c>
      <c r="BC176" t="n">
        <f>J176*W176</f>
        <v>0</v>
      </c>
      <c r="BD176" t="n">
        <f>K176*W176</f>
        <v>0</v>
      </c>
      <c r="BE176" t="n">
        <f>L176*W176</f>
        <v>0</v>
      </c>
      <c r="BF176" t="n">
        <f>M176*W176</f>
        <v>0</v>
      </c>
      <c r="BG176" t="n">
        <f>N176*W176</f>
        <v>0</v>
      </c>
      <c r="BH176" t="n">
        <f>O176*W176</f>
        <v>0</v>
      </c>
      <c r="BI176" t="n">
        <f>P176*W176</f>
        <v>0</v>
      </c>
      <c r="BJ176" t="n">
        <f>Q176*W176</f>
        <v>0</v>
      </c>
    </row>
    <row r="177">
      <c r="A177" t="n">
        <f>Charges!A177</f>
        <v>0</v>
      </c>
      <c r="B177" t="n">
        <f>Charges!C177</f>
        <v>0</v>
      </c>
      <c r="C177" t="str">
        <f>Charges!D177</f>
        <v/>
      </c>
      <c r="E177" t="n">
        <f>IF(1&lt;=Paramètres!$B$9,MAX(0,IFERROR(N(IF(ISNUMBER(Charges!F177),MAX(0,Charges!F177),IFERROR(VLOOKUP(Charges!F177,Paramètres!$A$15:$B$18,2,FALSE),0))),0)),0)</f>
        <v>0</v>
      </c>
      <c r="F177" t="n">
        <f>IF(2&lt;=Paramètres!$B$9,MAX(0,IFERROR(N(IF(ISNUMBER(Charges!G177),MAX(0,Charges!G177),IFERROR(VLOOKUP(Charges!G177,Paramètres!$A$15:$B$18,2,FALSE),0))),0)),0)</f>
        <v>0</v>
      </c>
      <c r="G177" t="n">
        <f>IF(3&lt;=Paramètres!$B$9,MAX(0,IFERROR(N(IF(ISNUMBER(Charges!H177),MAX(0,Charges!H177),IFERROR(VLOOKUP(Charges!H177,Paramètres!$A$15:$B$18,2,FALSE),0))),0)),0)</f>
        <v>0</v>
      </c>
      <c r="H177" t="n">
        <f>IF(4&lt;=Paramètres!$B$9,MAX(0,IFERROR(N(IF(ISNUMBER(Charges!I177),MAX(0,Charges!I177),IFERROR(VLOOKUP(Charges!I177,Paramètres!$A$15:$B$18,2,FALSE),0))),0)),0)</f>
        <v>0</v>
      </c>
      <c r="I177" t="n">
        <f>IF(5&lt;=Paramètres!$B$9,MAX(0,IFERROR(N(IF(ISNUMBER(Charges!J177),MAX(0,Charges!J177),IFERROR(VLOOKUP(Charges!J177,Paramètres!$A$15:$B$18,2,FALSE),0))),0)),0)</f>
        <v>0</v>
      </c>
      <c r="J177" t="n">
        <f>IF(6&lt;=Paramètres!$B$9,MAX(0,IFERROR(N(IF(ISNUMBER(Charges!K177),MAX(0,Charges!K177),IFERROR(VLOOKUP(Charges!K177,Paramètres!$A$15:$B$18,2,FALSE),0))),0)),0)</f>
        <v>0</v>
      </c>
      <c r="K177" t="n">
        <f>IF(7&lt;=Paramètres!$B$9,MAX(0,IFERROR(N(IF(ISNUMBER(Charges!L177),MAX(0,Charges!L177),IFERROR(VLOOKUP(Charges!L177,Paramètres!$A$15:$B$18,2,FALSE),0))),0)),0)</f>
        <v>0</v>
      </c>
      <c r="L177" t="n">
        <f>IF(8&lt;=Paramètres!$B$9,MAX(0,IFERROR(N(IF(ISNUMBER(Charges!M177),MAX(0,Charges!M177),IFERROR(VLOOKUP(Charges!M177,Paramètres!$A$15:$B$18,2,FALSE),0))),0)),0)</f>
        <v>0</v>
      </c>
      <c r="M177" t="n">
        <f>IF(9&lt;=Paramètres!$B$9,MAX(0,IFERROR(N(IF(ISNUMBER(Charges!N177),MAX(0,Charges!N177),IFERROR(VLOOKUP(Charges!N177,Paramètres!$A$15:$B$18,2,FALSE),0))),0)),0)</f>
        <v>0</v>
      </c>
      <c r="N177" t="n">
        <f>IF(10&lt;=Paramètres!$B$9,MAX(0,IFERROR(N(IF(ISNUMBER(Charges!O177),MAX(0,Charges!O177),IFERROR(VLOOKUP(Charges!O177,Paramètres!$A$15:$B$18,2,FALSE),0))),0)),0)</f>
        <v>0</v>
      </c>
      <c r="O177" t="n">
        <f>IF(11&lt;=Paramètres!$B$9,MAX(0,IFERROR(N(IF(ISNUMBER(Charges!P177),MAX(0,Charges!P177),IFERROR(VLOOKUP(Charges!P177,Paramètres!$A$15:$B$18,2,FALSE),0))),0)),0)</f>
        <v>0</v>
      </c>
      <c r="P177" t="n">
        <f>IF(12&lt;=Paramètres!$B$9,MAX(0,IFERROR(N(IF(ISNUMBER(Charges!Q177),MAX(0,Charges!Q177),IFERROR(VLOOKUP(Charges!Q177,Paramètres!$A$15:$B$18,2,FALSE),0))),0)),0)</f>
        <v>0</v>
      </c>
      <c r="Q177" t="n">
        <f>IF(13&lt;=Paramètres!$B$9,MAX(0,IFERROR(N(IF(ISNUMBER(Charges!R177),MAX(0,Charges!R177),IFERROR(VLOOKUP(Charges!R177,Paramètres!$A$15:$B$18,2,FALSE),0))),0)),0)</f>
        <v>0</v>
      </c>
      <c r="R177" t="n">
        <f>SUM(E177:Q177)</f>
        <v>0</v>
      </c>
      <c r="S177" t="n">
        <f>IF(IFERROR(VLOOKUP(A177,'Projets'!$A$8:$Z$67,7,FALSE),"")="Engager",1,0)</f>
        <v>0</v>
      </c>
      <c r="T177" t="n">
        <f>IF(OR(Charges!F177="",AND(ISNUMBER(Charges!F177),Charges!F177&gt;=0),Charges!F177="S",Charges!F177="M",Charges!F177="L",Charges!F177="XL"),0,1)+IF(OR(Charges!G177="",AND(ISNUMBER(Charges!G177),Charges!G177&gt;=0),Charges!G177="S",Charges!G177="M",Charges!G177="L",Charges!G177="XL"),0,1)+IF(OR(Charges!H177="",AND(ISNUMBER(Charges!H177),Charges!H177&gt;=0),Charges!H177="S",Charges!H177="M",Charges!H177="L",Charges!H177="XL"),0,1)+IF(OR(Charges!I177="",AND(ISNUMBER(Charges!I177),Charges!I177&gt;=0),Charges!I177="S",Charges!I177="M",Charges!I177="L",Charges!I177="XL"),0,1)+IF(OR(Charges!J177="",AND(ISNUMBER(Charges!J177),Charges!J177&gt;=0),Charges!J177="S",Charges!J177="M",Charges!J177="L",Charges!J177="XL"),0,1)+IF(OR(Charges!K177="",AND(ISNUMBER(Charges!K177),Charges!K177&gt;=0),Charges!K177="S",Charges!K177="M",Charges!K177="L",Charges!K177="XL"),0,1)+IF(OR(Charges!L177="",AND(ISNUMBER(Charges!L177),Charges!L177&gt;=0),Charges!L177="S",Charges!L177="M",Charges!L177="L",Charges!L177="XL"),0,1)+IF(OR(Charges!M177="",AND(ISNUMBER(Charges!M177),Charges!M177&gt;=0),Charges!M177="S",Charges!M177="M",Charges!M177="L",Charges!M177="XL"),0,1)+IF(OR(Charges!N177="",AND(ISNUMBER(Charges!N177),Charges!N177&gt;=0),Charges!N177="S",Charges!N177="M",Charges!N177="L",Charges!N177="XL"),0,1)+IF(OR(Charges!O177="",AND(ISNUMBER(Charges!O177),Charges!O177&gt;=0),Charges!O177="S",Charges!O177="M",Charges!O177="L",Charges!O177="XL"),0,1)+IF(OR(Charges!P177="",AND(ISNUMBER(Charges!P177),Charges!P177&gt;=0),Charges!P177="S",Charges!P177="M",Charges!P177="L",Charges!P177="XL"),0,1)+IF(OR(Charges!Q177="",AND(ISNUMBER(Charges!Q177),Charges!Q177&gt;=0),Charges!Q177="S",Charges!Q177="M",Charges!Q177="L",Charges!Q177="XL"),0,1)+IF(OR(Charges!R177="",AND(ISNUMBER(Charges!R177),Charges!R177&gt;=0),Charges!R177="S",Charges!R177="M",Charges!R177="L",Charges!R177="XL"),0,1)</f>
        <v>0</v>
      </c>
      <c r="U177" t="n">
        <f>IF(AND(1&gt;Paramètres!$B$9,Charges!F177&lt;&gt;"",Charges!F177&lt;&gt;0),1,0)+IF(AND(2&gt;Paramètres!$B$9,Charges!G177&lt;&gt;"",Charges!G177&lt;&gt;0),1,0)+IF(AND(3&gt;Paramètres!$B$9,Charges!H177&lt;&gt;"",Charges!H177&lt;&gt;0),1,0)+IF(AND(4&gt;Paramètres!$B$9,Charges!I177&lt;&gt;"",Charges!I177&lt;&gt;0),1,0)+IF(AND(5&gt;Paramètres!$B$9,Charges!J177&lt;&gt;"",Charges!J177&lt;&gt;0),1,0)+IF(AND(6&gt;Paramètres!$B$9,Charges!K177&lt;&gt;"",Charges!K177&lt;&gt;0),1,0)+IF(AND(7&gt;Paramètres!$B$9,Charges!L177&lt;&gt;"",Charges!L177&lt;&gt;0),1,0)+IF(AND(8&gt;Paramètres!$B$9,Charges!M177&lt;&gt;"",Charges!M177&lt;&gt;0),1,0)+IF(AND(9&gt;Paramètres!$B$9,Charges!N177&lt;&gt;"",Charges!N177&lt;&gt;0),1,0)+IF(AND(10&gt;Paramètres!$B$9,Charges!O177&lt;&gt;"",Charges!O177&lt;&gt;0),1,0)+IF(AND(11&gt;Paramètres!$B$9,Charges!P177&lt;&gt;"",Charges!P177&lt;&gt;0),1,0)+IF(AND(12&gt;Paramètres!$B$9,Charges!Q177&lt;&gt;"",Charges!Q177&lt;&gt;0),1,0)+IF(AND(13&gt;Paramètres!$B$9,Charges!R177&lt;&gt;"",Charges!R177&lt;&gt;0),1,0)</f>
        <v>0</v>
      </c>
      <c r="V177" t="n">
        <f>IF(IFERROR(VLOOKUP(A177,'Projets'!$A$8:$Z$67,5,FALSE),"")="Engager",1,0)</f>
        <v>0</v>
      </c>
      <c r="W177" t="n">
        <f>IF(IFERROR(VLOOKUP(A177,'Projets'!$A$8:$Z$67,6,FALSE),"")="Engager",1,0)</f>
        <v>0</v>
      </c>
      <c r="X177" t="n">
        <f>E177*S177</f>
        <v>0</v>
      </c>
      <c r="Y177" t="n">
        <f>F177*S177</f>
        <v>0</v>
      </c>
      <c r="Z177" t="n">
        <f>G177*S177</f>
        <v>0</v>
      </c>
      <c r="AA177" t="n">
        <f>H177*S177</f>
        <v>0</v>
      </c>
      <c r="AB177" t="n">
        <f>I177*S177</f>
        <v>0</v>
      </c>
      <c r="AC177" t="n">
        <f>J177*S177</f>
        <v>0</v>
      </c>
      <c r="AD177" t="n">
        <f>K177*S177</f>
        <v>0</v>
      </c>
      <c r="AE177" t="n">
        <f>L177*S177</f>
        <v>0</v>
      </c>
      <c r="AF177" t="n">
        <f>M177*S177</f>
        <v>0</v>
      </c>
      <c r="AG177" t="n">
        <f>N177*S177</f>
        <v>0</v>
      </c>
      <c r="AH177" t="n">
        <f>O177*S177</f>
        <v>0</v>
      </c>
      <c r="AI177" t="n">
        <f>P177*S177</f>
        <v>0</v>
      </c>
      <c r="AJ177" t="n">
        <f>Q177*S177</f>
        <v>0</v>
      </c>
      <c r="AK177" t="n">
        <f>E177*V177</f>
        <v>0</v>
      </c>
      <c r="AL177" t="n">
        <f>F177*V177</f>
        <v>0</v>
      </c>
      <c r="AM177" t="n">
        <f>G177*V177</f>
        <v>0</v>
      </c>
      <c r="AN177" t="n">
        <f>H177*V177</f>
        <v>0</v>
      </c>
      <c r="AO177" t="n">
        <f>I177*V177</f>
        <v>0</v>
      </c>
      <c r="AP177" t="n">
        <f>J177*V177</f>
        <v>0</v>
      </c>
      <c r="AQ177" t="n">
        <f>K177*V177</f>
        <v>0</v>
      </c>
      <c r="AR177" t="n">
        <f>L177*V177</f>
        <v>0</v>
      </c>
      <c r="AS177" t="n">
        <f>M177*V177</f>
        <v>0</v>
      </c>
      <c r="AT177" t="n">
        <f>N177*V177</f>
        <v>0</v>
      </c>
      <c r="AU177" t="n">
        <f>O177*V177</f>
        <v>0</v>
      </c>
      <c r="AV177" t="n">
        <f>P177*V177</f>
        <v>0</v>
      </c>
      <c r="AW177" t="n">
        <f>Q177*V177</f>
        <v>0</v>
      </c>
      <c r="AX177" t="n">
        <f>E177*W177</f>
        <v>0</v>
      </c>
      <c r="AY177" t="n">
        <f>F177*W177</f>
        <v>0</v>
      </c>
      <c r="AZ177" t="n">
        <f>G177*W177</f>
        <v>0</v>
      </c>
      <c r="BA177" t="n">
        <f>H177*W177</f>
        <v>0</v>
      </c>
      <c r="BB177" t="n">
        <f>I177*W177</f>
        <v>0</v>
      </c>
      <c r="BC177" t="n">
        <f>J177*W177</f>
        <v>0</v>
      </c>
      <c r="BD177" t="n">
        <f>K177*W177</f>
        <v>0</v>
      </c>
      <c r="BE177" t="n">
        <f>L177*W177</f>
        <v>0</v>
      </c>
      <c r="BF177" t="n">
        <f>M177*W177</f>
        <v>0</v>
      </c>
      <c r="BG177" t="n">
        <f>N177*W177</f>
        <v>0</v>
      </c>
      <c r="BH177" t="n">
        <f>O177*W177</f>
        <v>0</v>
      </c>
      <c r="BI177" t="n">
        <f>P177*W177</f>
        <v>0</v>
      </c>
      <c r="BJ177" t="n">
        <f>Q177*W177</f>
        <v>0</v>
      </c>
    </row>
    <row r="178">
      <c r="A178" t="n">
        <f>Charges!A178</f>
        <v>0</v>
      </c>
      <c r="B178" t="n">
        <f>Charges!C178</f>
        <v>0</v>
      </c>
      <c r="C178" t="str">
        <f>Charges!D178</f>
        <v/>
      </c>
      <c r="E178" t="n">
        <f>IF(1&lt;=Paramètres!$B$9,MAX(0,IFERROR(N(IF(ISNUMBER(Charges!F178),MAX(0,Charges!F178),IFERROR(VLOOKUP(Charges!F178,Paramètres!$A$15:$B$18,2,FALSE),0))),0)),0)</f>
        <v>0</v>
      </c>
      <c r="F178" t="n">
        <f>IF(2&lt;=Paramètres!$B$9,MAX(0,IFERROR(N(IF(ISNUMBER(Charges!G178),MAX(0,Charges!G178),IFERROR(VLOOKUP(Charges!G178,Paramètres!$A$15:$B$18,2,FALSE),0))),0)),0)</f>
        <v>0</v>
      </c>
      <c r="G178" t="n">
        <f>IF(3&lt;=Paramètres!$B$9,MAX(0,IFERROR(N(IF(ISNUMBER(Charges!H178),MAX(0,Charges!H178),IFERROR(VLOOKUP(Charges!H178,Paramètres!$A$15:$B$18,2,FALSE),0))),0)),0)</f>
        <v>0</v>
      </c>
      <c r="H178" t="n">
        <f>IF(4&lt;=Paramètres!$B$9,MAX(0,IFERROR(N(IF(ISNUMBER(Charges!I178),MAX(0,Charges!I178),IFERROR(VLOOKUP(Charges!I178,Paramètres!$A$15:$B$18,2,FALSE),0))),0)),0)</f>
        <v>0</v>
      </c>
      <c r="I178" t="n">
        <f>IF(5&lt;=Paramètres!$B$9,MAX(0,IFERROR(N(IF(ISNUMBER(Charges!J178),MAX(0,Charges!J178),IFERROR(VLOOKUP(Charges!J178,Paramètres!$A$15:$B$18,2,FALSE),0))),0)),0)</f>
        <v>0</v>
      </c>
      <c r="J178" t="n">
        <f>IF(6&lt;=Paramètres!$B$9,MAX(0,IFERROR(N(IF(ISNUMBER(Charges!K178),MAX(0,Charges!K178),IFERROR(VLOOKUP(Charges!K178,Paramètres!$A$15:$B$18,2,FALSE),0))),0)),0)</f>
        <v>0</v>
      </c>
      <c r="K178" t="n">
        <f>IF(7&lt;=Paramètres!$B$9,MAX(0,IFERROR(N(IF(ISNUMBER(Charges!L178),MAX(0,Charges!L178),IFERROR(VLOOKUP(Charges!L178,Paramètres!$A$15:$B$18,2,FALSE),0))),0)),0)</f>
        <v>0</v>
      </c>
      <c r="L178" t="n">
        <f>IF(8&lt;=Paramètres!$B$9,MAX(0,IFERROR(N(IF(ISNUMBER(Charges!M178),MAX(0,Charges!M178),IFERROR(VLOOKUP(Charges!M178,Paramètres!$A$15:$B$18,2,FALSE),0))),0)),0)</f>
        <v>0</v>
      </c>
      <c r="M178" t="n">
        <f>IF(9&lt;=Paramètres!$B$9,MAX(0,IFERROR(N(IF(ISNUMBER(Charges!N178),MAX(0,Charges!N178),IFERROR(VLOOKUP(Charges!N178,Paramètres!$A$15:$B$18,2,FALSE),0))),0)),0)</f>
        <v>0</v>
      </c>
      <c r="N178" t="n">
        <f>IF(10&lt;=Paramètres!$B$9,MAX(0,IFERROR(N(IF(ISNUMBER(Charges!O178),MAX(0,Charges!O178),IFERROR(VLOOKUP(Charges!O178,Paramètres!$A$15:$B$18,2,FALSE),0))),0)),0)</f>
        <v>0</v>
      </c>
      <c r="O178" t="n">
        <f>IF(11&lt;=Paramètres!$B$9,MAX(0,IFERROR(N(IF(ISNUMBER(Charges!P178),MAX(0,Charges!P178),IFERROR(VLOOKUP(Charges!P178,Paramètres!$A$15:$B$18,2,FALSE),0))),0)),0)</f>
        <v>0</v>
      </c>
      <c r="P178" t="n">
        <f>IF(12&lt;=Paramètres!$B$9,MAX(0,IFERROR(N(IF(ISNUMBER(Charges!Q178),MAX(0,Charges!Q178),IFERROR(VLOOKUP(Charges!Q178,Paramètres!$A$15:$B$18,2,FALSE),0))),0)),0)</f>
        <v>0</v>
      </c>
      <c r="Q178" t="n">
        <f>IF(13&lt;=Paramètres!$B$9,MAX(0,IFERROR(N(IF(ISNUMBER(Charges!R178),MAX(0,Charges!R178),IFERROR(VLOOKUP(Charges!R178,Paramètres!$A$15:$B$18,2,FALSE),0))),0)),0)</f>
        <v>0</v>
      </c>
      <c r="R178" t="n">
        <f>SUM(E178:Q178)</f>
        <v>0</v>
      </c>
      <c r="S178" t="n">
        <f>IF(IFERROR(VLOOKUP(A178,'Projets'!$A$8:$Z$67,7,FALSE),"")="Engager",1,0)</f>
        <v>0</v>
      </c>
      <c r="T178" t="n">
        <f>IF(OR(Charges!F178="",AND(ISNUMBER(Charges!F178),Charges!F178&gt;=0),Charges!F178="S",Charges!F178="M",Charges!F178="L",Charges!F178="XL"),0,1)+IF(OR(Charges!G178="",AND(ISNUMBER(Charges!G178),Charges!G178&gt;=0),Charges!G178="S",Charges!G178="M",Charges!G178="L",Charges!G178="XL"),0,1)+IF(OR(Charges!H178="",AND(ISNUMBER(Charges!H178),Charges!H178&gt;=0),Charges!H178="S",Charges!H178="M",Charges!H178="L",Charges!H178="XL"),0,1)+IF(OR(Charges!I178="",AND(ISNUMBER(Charges!I178),Charges!I178&gt;=0),Charges!I178="S",Charges!I178="M",Charges!I178="L",Charges!I178="XL"),0,1)+IF(OR(Charges!J178="",AND(ISNUMBER(Charges!J178),Charges!J178&gt;=0),Charges!J178="S",Charges!J178="M",Charges!J178="L",Charges!J178="XL"),0,1)+IF(OR(Charges!K178="",AND(ISNUMBER(Charges!K178),Charges!K178&gt;=0),Charges!K178="S",Charges!K178="M",Charges!K178="L",Charges!K178="XL"),0,1)+IF(OR(Charges!L178="",AND(ISNUMBER(Charges!L178),Charges!L178&gt;=0),Charges!L178="S",Charges!L178="M",Charges!L178="L",Charges!L178="XL"),0,1)+IF(OR(Charges!M178="",AND(ISNUMBER(Charges!M178),Charges!M178&gt;=0),Charges!M178="S",Charges!M178="M",Charges!M178="L",Charges!M178="XL"),0,1)+IF(OR(Charges!N178="",AND(ISNUMBER(Charges!N178),Charges!N178&gt;=0),Charges!N178="S",Charges!N178="M",Charges!N178="L",Charges!N178="XL"),0,1)+IF(OR(Charges!O178="",AND(ISNUMBER(Charges!O178),Charges!O178&gt;=0),Charges!O178="S",Charges!O178="M",Charges!O178="L",Charges!O178="XL"),0,1)+IF(OR(Charges!P178="",AND(ISNUMBER(Charges!P178),Charges!P178&gt;=0),Charges!P178="S",Charges!P178="M",Charges!P178="L",Charges!P178="XL"),0,1)+IF(OR(Charges!Q178="",AND(ISNUMBER(Charges!Q178),Charges!Q178&gt;=0),Charges!Q178="S",Charges!Q178="M",Charges!Q178="L",Charges!Q178="XL"),0,1)+IF(OR(Charges!R178="",AND(ISNUMBER(Charges!R178),Charges!R178&gt;=0),Charges!R178="S",Charges!R178="M",Charges!R178="L",Charges!R178="XL"),0,1)</f>
        <v>0</v>
      </c>
      <c r="U178" t="n">
        <f>IF(AND(1&gt;Paramètres!$B$9,Charges!F178&lt;&gt;"",Charges!F178&lt;&gt;0),1,0)+IF(AND(2&gt;Paramètres!$B$9,Charges!G178&lt;&gt;"",Charges!G178&lt;&gt;0),1,0)+IF(AND(3&gt;Paramètres!$B$9,Charges!H178&lt;&gt;"",Charges!H178&lt;&gt;0),1,0)+IF(AND(4&gt;Paramètres!$B$9,Charges!I178&lt;&gt;"",Charges!I178&lt;&gt;0),1,0)+IF(AND(5&gt;Paramètres!$B$9,Charges!J178&lt;&gt;"",Charges!J178&lt;&gt;0),1,0)+IF(AND(6&gt;Paramètres!$B$9,Charges!K178&lt;&gt;"",Charges!K178&lt;&gt;0),1,0)+IF(AND(7&gt;Paramètres!$B$9,Charges!L178&lt;&gt;"",Charges!L178&lt;&gt;0),1,0)+IF(AND(8&gt;Paramètres!$B$9,Charges!M178&lt;&gt;"",Charges!M178&lt;&gt;0),1,0)+IF(AND(9&gt;Paramètres!$B$9,Charges!N178&lt;&gt;"",Charges!N178&lt;&gt;0),1,0)+IF(AND(10&gt;Paramètres!$B$9,Charges!O178&lt;&gt;"",Charges!O178&lt;&gt;0),1,0)+IF(AND(11&gt;Paramètres!$B$9,Charges!P178&lt;&gt;"",Charges!P178&lt;&gt;0),1,0)+IF(AND(12&gt;Paramètres!$B$9,Charges!Q178&lt;&gt;"",Charges!Q178&lt;&gt;0),1,0)+IF(AND(13&gt;Paramètres!$B$9,Charges!R178&lt;&gt;"",Charges!R178&lt;&gt;0),1,0)</f>
        <v>0</v>
      </c>
      <c r="V178" t="n">
        <f>IF(IFERROR(VLOOKUP(A178,'Projets'!$A$8:$Z$67,5,FALSE),"")="Engager",1,0)</f>
        <v>0</v>
      </c>
      <c r="W178" t="n">
        <f>IF(IFERROR(VLOOKUP(A178,'Projets'!$A$8:$Z$67,6,FALSE),"")="Engager",1,0)</f>
        <v>0</v>
      </c>
      <c r="X178" t="n">
        <f>E178*S178</f>
        <v>0</v>
      </c>
      <c r="Y178" t="n">
        <f>F178*S178</f>
        <v>0</v>
      </c>
      <c r="Z178" t="n">
        <f>G178*S178</f>
        <v>0</v>
      </c>
      <c r="AA178" t="n">
        <f>H178*S178</f>
        <v>0</v>
      </c>
      <c r="AB178" t="n">
        <f>I178*S178</f>
        <v>0</v>
      </c>
      <c r="AC178" t="n">
        <f>J178*S178</f>
        <v>0</v>
      </c>
      <c r="AD178" t="n">
        <f>K178*S178</f>
        <v>0</v>
      </c>
      <c r="AE178" t="n">
        <f>L178*S178</f>
        <v>0</v>
      </c>
      <c r="AF178" t="n">
        <f>M178*S178</f>
        <v>0</v>
      </c>
      <c r="AG178" t="n">
        <f>N178*S178</f>
        <v>0</v>
      </c>
      <c r="AH178" t="n">
        <f>O178*S178</f>
        <v>0</v>
      </c>
      <c r="AI178" t="n">
        <f>P178*S178</f>
        <v>0</v>
      </c>
      <c r="AJ178" t="n">
        <f>Q178*S178</f>
        <v>0</v>
      </c>
      <c r="AK178" t="n">
        <f>E178*V178</f>
        <v>0</v>
      </c>
      <c r="AL178" t="n">
        <f>F178*V178</f>
        <v>0</v>
      </c>
      <c r="AM178" t="n">
        <f>G178*V178</f>
        <v>0</v>
      </c>
      <c r="AN178" t="n">
        <f>H178*V178</f>
        <v>0</v>
      </c>
      <c r="AO178" t="n">
        <f>I178*V178</f>
        <v>0</v>
      </c>
      <c r="AP178" t="n">
        <f>J178*V178</f>
        <v>0</v>
      </c>
      <c r="AQ178" t="n">
        <f>K178*V178</f>
        <v>0</v>
      </c>
      <c r="AR178" t="n">
        <f>L178*V178</f>
        <v>0</v>
      </c>
      <c r="AS178" t="n">
        <f>M178*V178</f>
        <v>0</v>
      </c>
      <c r="AT178" t="n">
        <f>N178*V178</f>
        <v>0</v>
      </c>
      <c r="AU178" t="n">
        <f>O178*V178</f>
        <v>0</v>
      </c>
      <c r="AV178" t="n">
        <f>P178*V178</f>
        <v>0</v>
      </c>
      <c r="AW178" t="n">
        <f>Q178*V178</f>
        <v>0</v>
      </c>
      <c r="AX178" t="n">
        <f>E178*W178</f>
        <v>0</v>
      </c>
      <c r="AY178" t="n">
        <f>F178*W178</f>
        <v>0</v>
      </c>
      <c r="AZ178" t="n">
        <f>G178*W178</f>
        <v>0</v>
      </c>
      <c r="BA178" t="n">
        <f>H178*W178</f>
        <v>0</v>
      </c>
      <c r="BB178" t="n">
        <f>I178*W178</f>
        <v>0</v>
      </c>
      <c r="BC178" t="n">
        <f>J178*W178</f>
        <v>0</v>
      </c>
      <c r="BD178" t="n">
        <f>K178*W178</f>
        <v>0</v>
      </c>
      <c r="BE178" t="n">
        <f>L178*W178</f>
        <v>0</v>
      </c>
      <c r="BF178" t="n">
        <f>M178*W178</f>
        <v>0</v>
      </c>
      <c r="BG178" t="n">
        <f>N178*W178</f>
        <v>0</v>
      </c>
      <c r="BH178" t="n">
        <f>O178*W178</f>
        <v>0</v>
      </c>
      <c r="BI178" t="n">
        <f>P178*W178</f>
        <v>0</v>
      </c>
      <c r="BJ178" t="n">
        <f>Q178*W178</f>
        <v>0</v>
      </c>
    </row>
    <row r="179">
      <c r="A179" t="n">
        <f>Charges!A179</f>
        <v>0</v>
      </c>
      <c r="B179" t="n">
        <f>Charges!C179</f>
        <v>0</v>
      </c>
      <c r="C179" t="str">
        <f>Charges!D179</f>
        <v/>
      </c>
      <c r="E179" t="n">
        <f>IF(1&lt;=Paramètres!$B$9,MAX(0,IFERROR(N(IF(ISNUMBER(Charges!F179),MAX(0,Charges!F179),IFERROR(VLOOKUP(Charges!F179,Paramètres!$A$15:$B$18,2,FALSE),0))),0)),0)</f>
        <v>0</v>
      </c>
      <c r="F179" t="n">
        <f>IF(2&lt;=Paramètres!$B$9,MAX(0,IFERROR(N(IF(ISNUMBER(Charges!G179),MAX(0,Charges!G179),IFERROR(VLOOKUP(Charges!G179,Paramètres!$A$15:$B$18,2,FALSE),0))),0)),0)</f>
        <v>0</v>
      </c>
      <c r="G179" t="n">
        <f>IF(3&lt;=Paramètres!$B$9,MAX(0,IFERROR(N(IF(ISNUMBER(Charges!H179),MAX(0,Charges!H179),IFERROR(VLOOKUP(Charges!H179,Paramètres!$A$15:$B$18,2,FALSE),0))),0)),0)</f>
        <v>0</v>
      </c>
      <c r="H179" t="n">
        <f>IF(4&lt;=Paramètres!$B$9,MAX(0,IFERROR(N(IF(ISNUMBER(Charges!I179),MAX(0,Charges!I179),IFERROR(VLOOKUP(Charges!I179,Paramètres!$A$15:$B$18,2,FALSE),0))),0)),0)</f>
        <v>0</v>
      </c>
      <c r="I179" t="n">
        <f>IF(5&lt;=Paramètres!$B$9,MAX(0,IFERROR(N(IF(ISNUMBER(Charges!J179),MAX(0,Charges!J179),IFERROR(VLOOKUP(Charges!J179,Paramètres!$A$15:$B$18,2,FALSE),0))),0)),0)</f>
        <v>0</v>
      </c>
      <c r="J179" t="n">
        <f>IF(6&lt;=Paramètres!$B$9,MAX(0,IFERROR(N(IF(ISNUMBER(Charges!K179),MAX(0,Charges!K179),IFERROR(VLOOKUP(Charges!K179,Paramètres!$A$15:$B$18,2,FALSE),0))),0)),0)</f>
        <v>0</v>
      </c>
      <c r="K179" t="n">
        <f>IF(7&lt;=Paramètres!$B$9,MAX(0,IFERROR(N(IF(ISNUMBER(Charges!L179),MAX(0,Charges!L179),IFERROR(VLOOKUP(Charges!L179,Paramètres!$A$15:$B$18,2,FALSE),0))),0)),0)</f>
        <v>0</v>
      </c>
      <c r="L179" t="n">
        <f>IF(8&lt;=Paramètres!$B$9,MAX(0,IFERROR(N(IF(ISNUMBER(Charges!M179),MAX(0,Charges!M179),IFERROR(VLOOKUP(Charges!M179,Paramètres!$A$15:$B$18,2,FALSE),0))),0)),0)</f>
        <v>0</v>
      </c>
      <c r="M179" t="n">
        <f>IF(9&lt;=Paramètres!$B$9,MAX(0,IFERROR(N(IF(ISNUMBER(Charges!N179),MAX(0,Charges!N179),IFERROR(VLOOKUP(Charges!N179,Paramètres!$A$15:$B$18,2,FALSE),0))),0)),0)</f>
        <v>0</v>
      </c>
      <c r="N179" t="n">
        <f>IF(10&lt;=Paramètres!$B$9,MAX(0,IFERROR(N(IF(ISNUMBER(Charges!O179),MAX(0,Charges!O179),IFERROR(VLOOKUP(Charges!O179,Paramètres!$A$15:$B$18,2,FALSE),0))),0)),0)</f>
        <v>0</v>
      </c>
      <c r="O179" t="n">
        <f>IF(11&lt;=Paramètres!$B$9,MAX(0,IFERROR(N(IF(ISNUMBER(Charges!P179),MAX(0,Charges!P179),IFERROR(VLOOKUP(Charges!P179,Paramètres!$A$15:$B$18,2,FALSE),0))),0)),0)</f>
        <v>0</v>
      </c>
      <c r="P179" t="n">
        <f>IF(12&lt;=Paramètres!$B$9,MAX(0,IFERROR(N(IF(ISNUMBER(Charges!Q179),MAX(0,Charges!Q179),IFERROR(VLOOKUP(Charges!Q179,Paramètres!$A$15:$B$18,2,FALSE),0))),0)),0)</f>
        <v>0</v>
      </c>
      <c r="Q179" t="n">
        <f>IF(13&lt;=Paramètres!$B$9,MAX(0,IFERROR(N(IF(ISNUMBER(Charges!R179),MAX(0,Charges!R179),IFERROR(VLOOKUP(Charges!R179,Paramètres!$A$15:$B$18,2,FALSE),0))),0)),0)</f>
        <v>0</v>
      </c>
      <c r="R179" t="n">
        <f>SUM(E179:Q179)</f>
        <v>0</v>
      </c>
      <c r="S179" t="n">
        <f>IF(IFERROR(VLOOKUP(A179,'Projets'!$A$8:$Z$67,7,FALSE),"")="Engager",1,0)</f>
        <v>0</v>
      </c>
      <c r="T179" t="n">
        <f>IF(OR(Charges!F179="",AND(ISNUMBER(Charges!F179),Charges!F179&gt;=0),Charges!F179="S",Charges!F179="M",Charges!F179="L",Charges!F179="XL"),0,1)+IF(OR(Charges!G179="",AND(ISNUMBER(Charges!G179),Charges!G179&gt;=0),Charges!G179="S",Charges!G179="M",Charges!G179="L",Charges!G179="XL"),0,1)+IF(OR(Charges!H179="",AND(ISNUMBER(Charges!H179),Charges!H179&gt;=0),Charges!H179="S",Charges!H179="M",Charges!H179="L",Charges!H179="XL"),0,1)+IF(OR(Charges!I179="",AND(ISNUMBER(Charges!I179),Charges!I179&gt;=0),Charges!I179="S",Charges!I179="M",Charges!I179="L",Charges!I179="XL"),0,1)+IF(OR(Charges!J179="",AND(ISNUMBER(Charges!J179),Charges!J179&gt;=0),Charges!J179="S",Charges!J179="M",Charges!J179="L",Charges!J179="XL"),0,1)+IF(OR(Charges!K179="",AND(ISNUMBER(Charges!K179),Charges!K179&gt;=0),Charges!K179="S",Charges!K179="M",Charges!K179="L",Charges!K179="XL"),0,1)+IF(OR(Charges!L179="",AND(ISNUMBER(Charges!L179),Charges!L179&gt;=0),Charges!L179="S",Charges!L179="M",Charges!L179="L",Charges!L179="XL"),0,1)+IF(OR(Charges!M179="",AND(ISNUMBER(Charges!M179),Charges!M179&gt;=0),Charges!M179="S",Charges!M179="M",Charges!M179="L",Charges!M179="XL"),0,1)+IF(OR(Charges!N179="",AND(ISNUMBER(Charges!N179),Charges!N179&gt;=0),Charges!N179="S",Charges!N179="M",Charges!N179="L",Charges!N179="XL"),0,1)+IF(OR(Charges!O179="",AND(ISNUMBER(Charges!O179),Charges!O179&gt;=0),Charges!O179="S",Charges!O179="M",Charges!O179="L",Charges!O179="XL"),0,1)+IF(OR(Charges!P179="",AND(ISNUMBER(Charges!P179),Charges!P179&gt;=0),Charges!P179="S",Charges!P179="M",Charges!P179="L",Charges!P179="XL"),0,1)+IF(OR(Charges!Q179="",AND(ISNUMBER(Charges!Q179),Charges!Q179&gt;=0),Charges!Q179="S",Charges!Q179="M",Charges!Q179="L",Charges!Q179="XL"),0,1)+IF(OR(Charges!R179="",AND(ISNUMBER(Charges!R179),Charges!R179&gt;=0),Charges!R179="S",Charges!R179="M",Charges!R179="L",Charges!R179="XL"),0,1)</f>
        <v>0</v>
      </c>
      <c r="U179" t="n">
        <f>IF(AND(1&gt;Paramètres!$B$9,Charges!F179&lt;&gt;"",Charges!F179&lt;&gt;0),1,0)+IF(AND(2&gt;Paramètres!$B$9,Charges!G179&lt;&gt;"",Charges!G179&lt;&gt;0),1,0)+IF(AND(3&gt;Paramètres!$B$9,Charges!H179&lt;&gt;"",Charges!H179&lt;&gt;0),1,0)+IF(AND(4&gt;Paramètres!$B$9,Charges!I179&lt;&gt;"",Charges!I179&lt;&gt;0),1,0)+IF(AND(5&gt;Paramètres!$B$9,Charges!J179&lt;&gt;"",Charges!J179&lt;&gt;0),1,0)+IF(AND(6&gt;Paramètres!$B$9,Charges!K179&lt;&gt;"",Charges!K179&lt;&gt;0),1,0)+IF(AND(7&gt;Paramètres!$B$9,Charges!L179&lt;&gt;"",Charges!L179&lt;&gt;0),1,0)+IF(AND(8&gt;Paramètres!$B$9,Charges!M179&lt;&gt;"",Charges!M179&lt;&gt;0),1,0)+IF(AND(9&gt;Paramètres!$B$9,Charges!N179&lt;&gt;"",Charges!N179&lt;&gt;0),1,0)+IF(AND(10&gt;Paramètres!$B$9,Charges!O179&lt;&gt;"",Charges!O179&lt;&gt;0),1,0)+IF(AND(11&gt;Paramètres!$B$9,Charges!P179&lt;&gt;"",Charges!P179&lt;&gt;0),1,0)+IF(AND(12&gt;Paramètres!$B$9,Charges!Q179&lt;&gt;"",Charges!Q179&lt;&gt;0),1,0)+IF(AND(13&gt;Paramètres!$B$9,Charges!R179&lt;&gt;"",Charges!R179&lt;&gt;0),1,0)</f>
        <v>0</v>
      </c>
      <c r="V179" t="n">
        <f>IF(IFERROR(VLOOKUP(A179,'Projets'!$A$8:$Z$67,5,FALSE),"")="Engager",1,0)</f>
        <v>0</v>
      </c>
      <c r="W179" t="n">
        <f>IF(IFERROR(VLOOKUP(A179,'Projets'!$A$8:$Z$67,6,FALSE),"")="Engager",1,0)</f>
        <v>0</v>
      </c>
      <c r="X179" t="n">
        <f>E179*S179</f>
        <v>0</v>
      </c>
      <c r="Y179" t="n">
        <f>F179*S179</f>
        <v>0</v>
      </c>
      <c r="Z179" t="n">
        <f>G179*S179</f>
        <v>0</v>
      </c>
      <c r="AA179" t="n">
        <f>H179*S179</f>
        <v>0</v>
      </c>
      <c r="AB179" t="n">
        <f>I179*S179</f>
        <v>0</v>
      </c>
      <c r="AC179" t="n">
        <f>J179*S179</f>
        <v>0</v>
      </c>
      <c r="AD179" t="n">
        <f>K179*S179</f>
        <v>0</v>
      </c>
      <c r="AE179" t="n">
        <f>L179*S179</f>
        <v>0</v>
      </c>
      <c r="AF179" t="n">
        <f>M179*S179</f>
        <v>0</v>
      </c>
      <c r="AG179" t="n">
        <f>N179*S179</f>
        <v>0</v>
      </c>
      <c r="AH179" t="n">
        <f>O179*S179</f>
        <v>0</v>
      </c>
      <c r="AI179" t="n">
        <f>P179*S179</f>
        <v>0</v>
      </c>
      <c r="AJ179" t="n">
        <f>Q179*S179</f>
        <v>0</v>
      </c>
      <c r="AK179" t="n">
        <f>E179*V179</f>
        <v>0</v>
      </c>
      <c r="AL179" t="n">
        <f>F179*V179</f>
        <v>0</v>
      </c>
      <c r="AM179" t="n">
        <f>G179*V179</f>
        <v>0</v>
      </c>
      <c r="AN179" t="n">
        <f>H179*V179</f>
        <v>0</v>
      </c>
      <c r="AO179" t="n">
        <f>I179*V179</f>
        <v>0</v>
      </c>
      <c r="AP179" t="n">
        <f>J179*V179</f>
        <v>0</v>
      </c>
      <c r="AQ179" t="n">
        <f>K179*V179</f>
        <v>0</v>
      </c>
      <c r="AR179" t="n">
        <f>L179*V179</f>
        <v>0</v>
      </c>
      <c r="AS179" t="n">
        <f>M179*V179</f>
        <v>0</v>
      </c>
      <c r="AT179" t="n">
        <f>N179*V179</f>
        <v>0</v>
      </c>
      <c r="AU179" t="n">
        <f>O179*V179</f>
        <v>0</v>
      </c>
      <c r="AV179" t="n">
        <f>P179*V179</f>
        <v>0</v>
      </c>
      <c r="AW179" t="n">
        <f>Q179*V179</f>
        <v>0</v>
      </c>
      <c r="AX179" t="n">
        <f>E179*W179</f>
        <v>0</v>
      </c>
      <c r="AY179" t="n">
        <f>F179*W179</f>
        <v>0</v>
      </c>
      <c r="AZ179" t="n">
        <f>G179*W179</f>
        <v>0</v>
      </c>
      <c r="BA179" t="n">
        <f>H179*W179</f>
        <v>0</v>
      </c>
      <c r="BB179" t="n">
        <f>I179*W179</f>
        <v>0</v>
      </c>
      <c r="BC179" t="n">
        <f>J179*W179</f>
        <v>0</v>
      </c>
      <c r="BD179" t="n">
        <f>K179*W179</f>
        <v>0</v>
      </c>
      <c r="BE179" t="n">
        <f>L179*W179</f>
        <v>0</v>
      </c>
      <c r="BF179" t="n">
        <f>M179*W179</f>
        <v>0</v>
      </c>
      <c r="BG179" t="n">
        <f>N179*W179</f>
        <v>0</v>
      </c>
      <c r="BH179" t="n">
        <f>O179*W179</f>
        <v>0</v>
      </c>
      <c r="BI179" t="n">
        <f>P179*W179</f>
        <v>0</v>
      </c>
      <c r="BJ179" t="n">
        <f>Q179*W179</f>
        <v>0</v>
      </c>
    </row>
    <row r="180">
      <c r="A180" t="n">
        <f>Charges!A180</f>
        <v>0</v>
      </c>
      <c r="B180" t="n">
        <f>Charges!C180</f>
        <v>0</v>
      </c>
      <c r="C180" t="str">
        <f>Charges!D180</f>
        <v/>
      </c>
      <c r="E180" t="n">
        <f>IF(1&lt;=Paramètres!$B$9,MAX(0,IFERROR(N(IF(ISNUMBER(Charges!F180),MAX(0,Charges!F180),IFERROR(VLOOKUP(Charges!F180,Paramètres!$A$15:$B$18,2,FALSE),0))),0)),0)</f>
        <v>0</v>
      </c>
      <c r="F180" t="n">
        <f>IF(2&lt;=Paramètres!$B$9,MAX(0,IFERROR(N(IF(ISNUMBER(Charges!G180),MAX(0,Charges!G180),IFERROR(VLOOKUP(Charges!G180,Paramètres!$A$15:$B$18,2,FALSE),0))),0)),0)</f>
        <v>0</v>
      </c>
      <c r="G180" t="n">
        <f>IF(3&lt;=Paramètres!$B$9,MAX(0,IFERROR(N(IF(ISNUMBER(Charges!H180),MAX(0,Charges!H180),IFERROR(VLOOKUP(Charges!H180,Paramètres!$A$15:$B$18,2,FALSE),0))),0)),0)</f>
        <v>0</v>
      </c>
      <c r="H180" t="n">
        <f>IF(4&lt;=Paramètres!$B$9,MAX(0,IFERROR(N(IF(ISNUMBER(Charges!I180),MAX(0,Charges!I180),IFERROR(VLOOKUP(Charges!I180,Paramètres!$A$15:$B$18,2,FALSE),0))),0)),0)</f>
        <v>0</v>
      </c>
      <c r="I180" t="n">
        <f>IF(5&lt;=Paramètres!$B$9,MAX(0,IFERROR(N(IF(ISNUMBER(Charges!J180),MAX(0,Charges!J180),IFERROR(VLOOKUP(Charges!J180,Paramètres!$A$15:$B$18,2,FALSE),0))),0)),0)</f>
        <v>0</v>
      </c>
      <c r="J180" t="n">
        <f>IF(6&lt;=Paramètres!$B$9,MAX(0,IFERROR(N(IF(ISNUMBER(Charges!K180),MAX(0,Charges!K180),IFERROR(VLOOKUP(Charges!K180,Paramètres!$A$15:$B$18,2,FALSE),0))),0)),0)</f>
        <v>0</v>
      </c>
      <c r="K180" t="n">
        <f>IF(7&lt;=Paramètres!$B$9,MAX(0,IFERROR(N(IF(ISNUMBER(Charges!L180),MAX(0,Charges!L180),IFERROR(VLOOKUP(Charges!L180,Paramètres!$A$15:$B$18,2,FALSE),0))),0)),0)</f>
        <v>0</v>
      </c>
      <c r="L180" t="n">
        <f>IF(8&lt;=Paramètres!$B$9,MAX(0,IFERROR(N(IF(ISNUMBER(Charges!M180),MAX(0,Charges!M180),IFERROR(VLOOKUP(Charges!M180,Paramètres!$A$15:$B$18,2,FALSE),0))),0)),0)</f>
        <v>0</v>
      </c>
      <c r="M180" t="n">
        <f>IF(9&lt;=Paramètres!$B$9,MAX(0,IFERROR(N(IF(ISNUMBER(Charges!N180),MAX(0,Charges!N180),IFERROR(VLOOKUP(Charges!N180,Paramètres!$A$15:$B$18,2,FALSE),0))),0)),0)</f>
        <v>0</v>
      </c>
      <c r="N180" t="n">
        <f>IF(10&lt;=Paramètres!$B$9,MAX(0,IFERROR(N(IF(ISNUMBER(Charges!O180),MAX(0,Charges!O180),IFERROR(VLOOKUP(Charges!O180,Paramètres!$A$15:$B$18,2,FALSE),0))),0)),0)</f>
        <v>0</v>
      </c>
      <c r="O180" t="n">
        <f>IF(11&lt;=Paramètres!$B$9,MAX(0,IFERROR(N(IF(ISNUMBER(Charges!P180),MAX(0,Charges!P180),IFERROR(VLOOKUP(Charges!P180,Paramètres!$A$15:$B$18,2,FALSE),0))),0)),0)</f>
        <v>0</v>
      </c>
      <c r="P180" t="n">
        <f>IF(12&lt;=Paramètres!$B$9,MAX(0,IFERROR(N(IF(ISNUMBER(Charges!Q180),MAX(0,Charges!Q180),IFERROR(VLOOKUP(Charges!Q180,Paramètres!$A$15:$B$18,2,FALSE),0))),0)),0)</f>
        <v>0</v>
      </c>
      <c r="Q180" t="n">
        <f>IF(13&lt;=Paramètres!$B$9,MAX(0,IFERROR(N(IF(ISNUMBER(Charges!R180),MAX(0,Charges!R180),IFERROR(VLOOKUP(Charges!R180,Paramètres!$A$15:$B$18,2,FALSE),0))),0)),0)</f>
        <v>0</v>
      </c>
      <c r="R180" t="n">
        <f>SUM(E180:Q180)</f>
        <v>0</v>
      </c>
      <c r="S180" t="n">
        <f>IF(IFERROR(VLOOKUP(A180,'Projets'!$A$8:$Z$67,7,FALSE),"")="Engager",1,0)</f>
        <v>0</v>
      </c>
      <c r="T180" t="n">
        <f>IF(OR(Charges!F180="",AND(ISNUMBER(Charges!F180),Charges!F180&gt;=0),Charges!F180="S",Charges!F180="M",Charges!F180="L",Charges!F180="XL"),0,1)+IF(OR(Charges!G180="",AND(ISNUMBER(Charges!G180),Charges!G180&gt;=0),Charges!G180="S",Charges!G180="M",Charges!G180="L",Charges!G180="XL"),0,1)+IF(OR(Charges!H180="",AND(ISNUMBER(Charges!H180),Charges!H180&gt;=0),Charges!H180="S",Charges!H180="M",Charges!H180="L",Charges!H180="XL"),0,1)+IF(OR(Charges!I180="",AND(ISNUMBER(Charges!I180),Charges!I180&gt;=0),Charges!I180="S",Charges!I180="M",Charges!I180="L",Charges!I180="XL"),0,1)+IF(OR(Charges!J180="",AND(ISNUMBER(Charges!J180),Charges!J180&gt;=0),Charges!J180="S",Charges!J180="M",Charges!J180="L",Charges!J180="XL"),0,1)+IF(OR(Charges!K180="",AND(ISNUMBER(Charges!K180),Charges!K180&gt;=0),Charges!K180="S",Charges!K180="M",Charges!K180="L",Charges!K180="XL"),0,1)+IF(OR(Charges!L180="",AND(ISNUMBER(Charges!L180),Charges!L180&gt;=0),Charges!L180="S",Charges!L180="M",Charges!L180="L",Charges!L180="XL"),0,1)+IF(OR(Charges!M180="",AND(ISNUMBER(Charges!M180),Charges!M180&gt;=0),Charges!M180="S",Charges!M180="M",Charges!M180="L",Charges!M180="XL"),0,1)+IF(OR(Charges!N180="",AND(ISNUMBER(Charges!N180),Charges!N180&gt;=0),Charges!N180="S",Charges!N180="M",Charges!N180="L",Charges!N180="XL"),0,1)+IF(OR(Charges!O180="",AND(ISNUMBER(Charges!O180),Charges!O180&gt;=0),Charges!O180="S",Charges!O180="M",Charges!O180="L",Charges!O180="XL"),0,1)+IF(OR(Charges!P180="",AND(ISNUMBER(Charges!P180),Charges!P180&gt;=0),Charges!P180="S",Charges!P180="M",Charges!P180="L",Charges!P180="XL"),0,1)+IF(OR(Charges!Q180="",AND(ISNUMBER(Charges!Q180),Charges!Q180&gt;=0),Charges!Q180="S",Charges!Q180="M",Charges!Q180="L",Charges!Q180="XL"),0,1)+IF(OR(Charges!R180="",AND(ISNUMBER(Charges!R180),Charges!R180&gt;=0),Charges!R180="S",Charges!R180="M",Charges!R180="L",Charges!R180="XL"),0,1)</f>
        <v>0</v>
      </c>
      <c r="U180" t="n">
        <f>IF(AND(1&gt;Paramètres!$B$9,Charges!F180&lt;&gt;"",Charges!F180&lt;&gt;0),1,0)+IF(AND(2&gt;Paramètres!$B$9,Charges!G180&lt;&gt;"",Charges!G180&lt;&gt;0),1,0)+IF(AND(3&gt;Paramètres!$B$9,Charges!H180&lt;&gt;"",Charges!H180&lt;&gt;0),1,0)+IF(AND(4&gt;Paramètres!$B$9,Charges!I180&lt;&gt;"",Charges!I180&lt;&gt;0),1,0)+IF(AND(5&gt;Paramètres!$B$9,Charges!J180&lt;&gt;"",Charges!J180&lt;&gt;0),1,0)+IF(AND(6&gt;Paramètres!$B$9,Charges!K180&lt;&gt;"",Charges!K180&lt;&gt;0),1,0)+IF(AND(7&gt;Paramètres!$B$9,Charges!L180&lt;&gt;"",Charges!L180&lt;&gt;0),1,0)+IF(AND(8&gt;Paramètres!$B$9,Charges!M180&lt;&gt;"",Charges!M180&lt;&gt;0),1,0)+IF(AND(9&gt;Paramètres!$B$9,Charges!N180&lt;&gt;"",Charges!N180&lt;&gt;0),1,0)+IF(AND(10&gt;Paramètres!$B$9,Charges!O180&lt;&gt;"",Charges!O180&lt;&gt;0),1,0)+IF(AND(11&gt;Paramètres!$B$9,Charges!P180&lt;&gt;"",Charges!P180&lt;&gt;0),1,0)+IF(AND(12&gt;Paramètres!$B$9,Charges!Q180&lt;&gt;"",Charges!Q180&lt;&gt;0),1,0)+IF(AND(13&gt;Paramètres!$B$9,Charges!R180&lt;&gt;"",Charges!R180&lt;&gt;0),1,0)</f>
        <v>0</v>
      </c>
      <c r="V180" t="n">
        <f>IF(IFERROR(VLOOKUP(A180,'Projets'!$A$8:$Z$67,5,FALSE),"")="Engager",1,0)</f>
        <v>0</v>
      </c>
      <c r="W180" t="n">
        <f>IF(IFERROR(VLOOKUP(A180,'Projets'!$A$8:$Z$67,6,FALSE),"")="Engager",1,0)</f>
        <v>0</v>
      </c>
      <c r="X180" t="n">
        <f>E180*S180</f>
        <v>0</v>
      </c>
      <c r="Y180" t="n">
        <f>F180*S180</f>
        <v>0</v>
      </c>
      <c r="Z180" t="n">
        <f>G180*S180</f>
        <v>0</v>
      </c>
      <c r="AA180" t="n">
        <f>H180*S180</f>
        <v>0</v>
      </c>
      <c r="AB180" t="n">
        <f>I180*S180</f>
        <v>0</v>
      </c>
      <c r="AC180" t="n">
        <f>J180*S180</f>
        <v>0</v>
      </c>
      <c r="AD180" t="n">
        <f>K180*S180</f>
        <v>0</v>
      </c>
      <c r="AE180" t="n">
        <f>L180*S180</f>
        <v>0</v>
      </c>
      <c r="AF180" t="n">
        <f>M180*S180</f>
        <v>0</v>
      </c>
      <c r="AG180" t="n">
        <f>N180*S180</f>
        <v>0</v>
      </c>
      <c r="AH180" t="n">
        <f>O180*S180</f>
        <v>0</v>
      </c>
      <c r="AI180" t="n">
        <f>P180*S180</f>
        <v>0</v>
      </c>
      <c r="AJ180" t="n">
        <f>Q180*S180</f>
        <v>0</v>
      </c>
      <c r="AK180" t="n">
        <f>E180*V180</f>
        <v>0</v>
      </c>
      <c r="AL180" t="n">
        <f>F180*V180</f>
        <v>0</v>
      </c>
      <c r="AM180" t="n">
        <f>G180*V180</f>
        <v>0</v>
      </c>
      <c r="AN180" t="n">
        <f>H180*V180</f>
        <v>0</v>
      </c>
      <c r="AO180" t="n">
        <f>I180*V180</f>
        <v>0</v>
      </c>
      <c r="AP180" t="n">
        <f>J180*V180</f>
        <v>0</v>
      </c>
      <c r="AQ180" t="n">
        <f>K180*V180</f>
        <v>0</v>
      </c>
      <c r="AR180" t="n">
        <f>L180*V180</f>
        <v>0</v>
      </c>
      <c r="AS180" t="n">
        <f>M180*V180</f>
        <v>0</v>
      </c>
      <c r="AT180" t="n">
        <f>N180*V180</f>
        <v>0</v>
      </c>
      <c r="AU180" t="n">
        <f>O180*V180</f>
        <v>0</v>
      </c>
      <c r="AV180" t="n">
        <f>P180*V180</f>
        <v>0</v>
      </c>
      <c r="AW180" t="n">
        <f>Q180*V180</f>
        <v>0</v>
      </c>
      <c r="AX180" t="n">
        <f>E180*W180</f>
        <v>0</v>
      </c>
      <c r="AY180" t="n">
        <f>F180*W180</f>
        <v>0</v>
      </c>
      <c r="AZ180" t="n">
        <f>G180*W180</f>
        <v>0</v>
      </c>
      <c r="BA180" t="n">
        <f>H180*W180</f>
        <v>0</v>
      </c>
      <c r="BB180" t="n">
        <f>I180*W180</f>
        <v>0</v>
      </c>
      <c r="BC180" t="n">
        <f>J180*W180</f>
        <v>0</v>
      </c>
      <c r="BD180" t="n">
        <f>K180*W180</f>
        <v>0</v>
      </c>
      <c r="BE180" t="n">
        <f>L180*W180</f>
        <v>0</v>
      </c>
      <c r="BF180" t="n">
        <f>M180*W180</f>
        <v>0</v>
      </c>
      <c r="BG180" t="n">
        <f>N180*W180</f>
        <v>0</v>
      </c>
      <c r="BH180" t="n">
        <f>O180*W180</f>
        <v>0</v>
      </c>
      <c r="BI180" t="n">
        <f>P180*W180</f>
        <v>0</v>
      </c>
      <c r="BJ180" t="n">
        <f>Q180*W180</f>
        <v>0</v>
      </c>
    </row>
    <row r="181">
      <c r="A181" t="n">
        <f>Charges!A181</f>
        <v>0</v>
      </c>
      <c r="B181" t="n">
        <f>Charges!C181</f>
        <v>0</v>
      </c>
      <c r="C181" t="str">
        <f>Charges!D181</f>
        <v/>
      </c>
      <c r="E181" t="n">
        <f>IF(1&lt;=Paramètres!$B$9,MAX(0,IFERROR(N(IF(ISNUMBER(Charges!F181),MAX(0,Charges!F181),IFERROR(VLOOKUP(Charges!F181,Paramètres!$A$15:$B$18,2,FALSE),0))),0)),0)</f>
        <v>0</v>
      </c>
      <c r="F181" t="n">
        <f>IF(2&lt;=Paramètres!$B$9,MAX(0,IFERROR(N(IF(ISNUMBER(Charges!G181),MAX(0,Charges!G181),IFERROR(VLOOKUP(Charges!G181,Paramètres!$A$15:$B$18,2,FALSE),0))),0)),0)</f>
        <v>0</v>
      </c>
      <c r="G181" t="n">
        <f>IF(3&lt;=Paramètres!$B$9,MAX(0,IFERROR(N(IF(ISNUMBER(Charges!H181),MAX(0,Charges!H181),IFERROR(VLOOKUP(Charges!H181,Paramètres!$A$15:$B$18,2,FALSE),0))),0)),0)</f>
        <v>0</v>
      </c>
      <c r="H181" t="n">
        <f>IF(4&lt;=Paramètres!$B$9,MAX(0,IFERROR(N(IF(ISNUMBER(Charges!I181),MAX(0,Charges!I181),IFERROR(VLOOKUP(Charges!I181,Paramètres!$A$15:$B$18,2,FALSE),0))),0)),0)</f>
        <v>0</v>
      </c>
      <c r="I181" t="n">
        <f>IF(5&lt;=Paramètres!$B$9,MAX(0,IFERROR(N(IF(ISNUMBER(Charges!J181),MAX(0,Charges!J181),IFERROR(VLOOKUP(Charges!J181,Paramètres!$A$15:$B$18,2,FALSE),0))),0)),0)</f>
        <v>0</v>
      </c>
      <c r="J181" t="n">
        <f>IF(6&lt;=Paramètres!$B$9,MAX(0,IFERROR(N(IF(ISNUMBER(Charges!K181),MAX(0,Charges!K181),IFERROR(VLOOKUP(Charges!K181,Paramètres!$A$15:$B$18,2,FALSE),0))),0)),0)</f>
        <v>0</v>
      </c>
      <c r="K181" t="n">
        <f>IF(7&lt;=Paramètres!$B$9,MAX(0,IFERROR(N(IF(ISNUMBER(Charges!L181),MAX(0,Charges!L181),IFERROR(VLOOKUP(Charges!L181,Paramètres!$A$15:$B$18,2,FALSE),0))),0)),0)</f>
        <v>0</v>
      </c>
      <c r="L181" t="n">
        <f>IF(8&lt;=Paramètres!$B$9,MAX(0,IFERROR(N(IF(ISNUMBER(Charges!M181),MAX(0,Charges!M181),IFERROR(VLOOKUP(Charges!M181,Paramètres!$A$15:$B$18,2,FALSE),0))),0)),0)</f>
        <v>0</v>
      </c>
      <c r="M181" t="n">
        <f>IF(9&lt;=Paramètres!$B$9,MAX(0,IFERROR(N(IF(ISNUMBER(Charges!N181),MAX(0,Charges!N181),IFERROR(VLOOKUP(Charges!N181,Paramètres!$A$15:$B$18,2,FALSE),0))),0)),0)</f>
        <v>0</v>
      </c>
      <c r="N181" t="n">
        <f>IF(10&lt;=Paramètres!$B$9,MAX(0,IFERROR(N(IF(ISNUMBER(Charges!O181),MAX(0,Charges!O181),IFERROR(VLOOKUP(Charges!O181,Paramètres!$A$15:$B$18,2,FALSE),0))),0)),0)</f>
        <v>0</v>
      </c>
      <c r="O181" t="n">
        <f>IF(11&lt;=Paramètres!$B$9,MAX(0,IFERROR(N(IF(ISNUMBER(Charges!P181),MAX(0,Charges!P181),IFERROR(VLOOKUP(Charges!P181,Paramètres!$A$15:$B$18,2,FALSE),0))),0)),0)</f>
        <v>0</v>
      </c>
      <c r="P181" t="n">
        <f>IF(12&lt;=Paramètres!$B$9,MAX(0,IFERROR(N(IF(ISNUMBER(Charges!Q181),MAX(0,Charges!Q181),IFERROR(VLOOKUP(Charges!Q181,Paramètres!$A$15:$B$18,2,FALSE),0))),0)),0)</f>
        <v>0</v>
      </c>
      <c r="Q181" t="n">
        <f>IF(13&lt;=Paramètres!$B$9,MAX(0,IFERROR(N(IF(ISNUMBER(Charges!R181),MAX(0,Charges!R181),IFERROR(VLOOKUP(Charges!R181,Paramètres!$A$15:$B$18,2,FALSE),0))),0)),0)</f>
        <v>0</v>
      </c>
      <c r="R181" t="n">
        <f>SUM(E181:Q181)</f>
        <v>0</v>
      </c>
      <c r="S181" t="n">
        <f>IF(IFERROR(VLOOKUP(A181,'Projets'!$A$8:$Z$67,7,FALSE),"")="Engager",1,0)</f>
        <v>0</v>
      </c>
      <c r="T181" t="n">
        <f>IF(OR(Charges!F181="",AND(ISNUMBER(Charges!F181),Charges!F181&gt;=0),Charges!F181="S",Charges!F181="M",Charges!F181="L",Charges!F181="XL"),0,1)+IF(OR(Charges!G181="",AND(ISNUMBER(Charges!G181),Charges!G181&gt;=0),Charges!G181="S",Charges!G181="M",Charges!G181="L",Charges!G181="XL"),0,1)+IF(OR(Charges!H181="",AND(ISNUMBER(Charges!H181),Charges!H181&gt;=0),Charges!H181="S",Charges!H181="M",Charges!H181="L",Charges!H181="XL"),0,1)+IF(OR(Charges!I181="",AND(ISNUMBER(Charges!I181),Charges!I181&gt;=0),Charges!I181="S",Charges!I181="M",Charges!I181="L",Charges!I181="XL"),0,1)+IF(OR(Charges!J181="",AND(ISNUMBER(Charges!J181),Charges!J181&gt;=0),Charges!J181="S",Charges!J181="M",Charges!J181="L",Charges!J181="XL"),0,1)+IF(OR(Charges!K181="",AND(ISNUMBER(Charges!K181),Charges!K181&gt;=0),Charges!K181="S",Charges!K181="M",Charges!K181="L",Charges!K181="XL"),0,1)+IF(OR(Charges!L181="",AND(ISNUMBER(Charges!L181),Charges!L181&gt;=0),Charges!L181="S",Charges!L181="M",Charges!L181="L",Charges!L181="XL"),0,1)+IF(OR(Charges!M181="",AND(ISNUMBER(Charges!M181),Charges!M181&gt;=0),Charges!M181="S",Charges!M181="M",Charges!M181="L",Charges!M181="XL"),0,1)+IF(OR(Charges!N181="",AND(ISNUMBER(Charges!N181),Charges!N181&gt;=0),Charges!N181="S",Charges!N181="M",Charges!N181="L",Charges!N181="XL"),0,1)+IF(OR(Charges!O181="",AND(ISNUMBER(Charges!O181),Charges!O181&gt;=0),Charges!O181="S",Charges!O181="M",Charges!O181="L",Charges!O181="XL"),0,1)+IF(OR(Charges!P181="",AND(ISNUMBER(Charges!P181),Charges!P181&gt;=0),Charges!P181="S",Charges!P181="M",Charges!P181="L",Charges!P181="XL"),0,1)+IF(OR(Charges!Q181="",AND(ISNUMBER(Charges!Q181),Charges!Q181&gt;=0),Charges!Q181="S",Charges!Q181="M",Charges!Q181="L",Charges!Q181="XL"),0,1)+IF(OR(Charges!R181="",AND(ISNUMBER(Charges!R181),Charges!R181&gt;=0),Charges!R181="S",Charges!R181="M",Charges!R181="L",Charges!R181="XL"),0,1)</f>
        <v>0</v>
      </c>
      <c r="U181" t="n">
        <f>IF(AND(1&gt;Paramètres!$B$9,Charges!F181&lt;&gt;"",Charges!F181&lt;&gt;0),1,0)+IF(AND(2&gt;Paramètres!$B$9,Charges!G181&lt;&gt;"",Charges!G181&lt;&gt;0),1,0)+IF(AND(3&gt;Paramètres!$B$9,Charges!H181&lt;&gt;"",Charges!H181&lt;&gt;0),1,0)+IF(AND(4&gt;Paramètres!$B$9,Charges!I181&lt;&gt;"",Charges!I181&lt;&gt;0),1,0)+IF(AND(5&gt;Paramètres!$B$9,Charges!J181&lt;&gt;"",Charges!J181&lt;&gt;0),1,0)+IF(AND(6&gt;Paramètres!$B$9,Charges!K181&lt;&gt;"",Charges!K181&lt;&gt;0),1,0)+IF(AND(7&gt;Paramètres!$B$9,Charges!L181&lt;&gt;"",Charges!L181&lt;&gt;0),1,0)+IF(AND(8&gt;Paramètres!$B$9,Charges!M181&lt;&gt;"",Charges!M181&lt;&gt;0),1,0)+IF(AND(9&gt;Paramètres!$B$9,Charges!N181&lt;&gt;"",Charges!N181&lt;&gt;0),1,0)+IF(AND(10&gt;Paramètres!$B$9,Charges!O181&lt;&gt;"",Charges!O181&lt;&gt;0),1,0)+IF(AND(11&gt;Paramètres!$B$9,Charges!P181&lt;&gt;"",Charges!P181&lt;&gt;0),1,0)+IF(AND(12&gt;Paramètres!$B$9,Charges!Q181&lt;&gt;"",Charges!Q181&lt;&gt;0),1,0)+IF(AND(13&gt;Paramètres!$B$9,Charges!R181&lt;&gt;"",Charges!R181&lt;&gt;0),1,0)</f>
        <v>0</v>
      </c>
      <c r="V181" t="n">
        <f>IF(IFERROR(VLOOKUP(A181,'Projets'!$A$8:$Z$67,5,FALSE),"")="Engager",1,0)</f>
        <v>0</v>
      </c>
      <c r="W181" t="n">
        <f>IF(IFERROR(VLOOKUP(A181,'Projets'!$A$8:$Z$67,6,FALSE),"")="Engager",1,0)</f>
        <v>0</v>
      </c>
      <c r="X181" t="n">
        <f>E181*S181</f>
        <v>0</v>
      </c>
      <c r="Y181" t="n">
        <f>F181*S181</f>
        <v>0</v>
      </c>
      <c r="Z181" t="n">
        <f>G181*S181</f>
        <v>0</v>
      </c>
      <c r="AA181" t="n">
        <f>H181*S181</f>
        <v>0</v>
      </c>
      <c r="AB181" t="n">
        <f>I181*S181</f>
        <v>0</v>
      </c>
      <c r="AC181" t="n">
        <f>J181*S181</f>
        <v>0</v>
      </c>
      <c r="AD181" t="n">
        <f>K181*S181</f>
        <v>0</v>
      </c>
      <c r="AE181" t="n">
        <f>L181*S181</f>
        <v>0</v>
      </c>
      <c r="AF181" t="n">
        <f>M181*S181</f>
        <v>0</v>
      </c>
      <c r="AG181" t="n">
        <f>N181*S181</f>
        <v>0</v>
      </c>
      <c r="AH181" t="n">
        <f>O181*S181</f>
        <v>0</v>
      </c>
      <c r="AI181" t="n">
        <f>P181*S181</f>
        <v>0</v>
      </c>
      <c r="AJ181" t="n">
        <f>Q181*S181</f>
        <v>0</v>
      </c>
      <c r="AK181" t="n">
        <f>E181*V181</f>
        <v>0</v>
      </c>
      <c r="AL181" t="n">
        <f>F181*V181</f>
        <v>0</v>
      </c>
      <c r="AM181" t="n">
        <f>G181*V181</f>
        <v>0</v>
      </c>
      <c r="AN181" t="n">
        <f>H181*V181</f>
        <v>0</v>
      </c>
      <c r="AO181" t="n">
        <f>I181*V181</f>
        <v>0</v>
      </c>
      <c r="AP181" t="n">
        <f>J181*V181</f>
        <v>0</v>
      </c>
      <c r="AQ181" t="n">
        <f>K181*V181</f>
        <v>0</v>
      </c>
      <c r="AR181" t="n">
        <f>L181*V181</f>
        <v>0</v>
      </c>
      <c r="AS181" t="n">
        <f>M181*V181</f>
        <v>0</v>
      </c>
      <c r="AT181" t="n">
        <f>N181*V181</f>
        <v>0</v>
      </c>
      <c r="AU181" t="n">
        <f>O181*V181</f>
        <v>0</v>
      </c>
      <c r="AV181" t="n">
        <f>P181*V181</f>
        <v>0</v>
      </c>
      <c r="AW181" t="n">
        <f>Q181*V181</f>
        <v>0</v>
      </c>
      <c r="AX181" t="n">
        <f>E181*W181</f>
        <v>0</v>
      </c>
      <c r="AY181" t="n">
        <f>F181*W181</f>
        <v>0</v>
      </c>
      <c r="AZ181" t="n">
        <f>G181*W181</f>
        <v>0</v>
      </c>
      <c r="BA181" t="n">
        <f>H181*W181</f>
        <v>0</v>
      </c>
      <c r="BB181" t="n">
        <f>I181*W181</f>
        <v>0</v>
      </c>
      <c r="BC181" t="n">
        <f>J181*W181</f>
        <v>0</v>
      </c>
      <c r="BD181" t="n">
        <f>K181*W181</f>
        <v>0</v>
      </c>
      <c r="BE181" t="n">
        <f>L181*W181</f>
        <v>0</v>
      </c>
      <c r="BF181" t="n">
        <f>M181*W181</f>
        <v>0</v>
      </c>
      <c r="BG181" t="n">
        <f>N181*W181</f>
        <v>0</v>
      </c>
      <c r="BH181" t="n">
        <f>O181*W181</f>
        <v>0</v>
      </c>
      <c r="BI181" t="n">
        <f>P181*W181</f>
        <v>0</v>
      </c>
      <c r="BJ181" t="n">
        <f>Q181*W181</f>
        <v>0</v>
      </c>
    </row>
    <row r="182">
      <c r="A182" t="n">
        <f>Charges!A182</f>
        <v>0</v>
      </c>
      <c r="B182" t="n">
        <f>Charges!C182</f>
        <v>0</v>
      </c>
      <c r="C182" t="str">
        <f>Charges!D182</f>
        <v/>
      </c>
      <c r="E182" t="n">
        <f>IF(1&lt;=Paramètres!$B$9,MAX(0,IFERROR(N(IF(ISNUMBER(Charges!F182),MAX(0,Charges!F182),IFERROR(VLOOKUP(Charges!F182,Paramètres!$A$15:$B$18,2,FALSE),0))),0)),0)</f>
        <v>0</v>
      </c>
      <c r="F182" t="n">
        <f>IF(2&lt;=Paramètres!$B$9,MAX(0,IFERROR(N(IF(ISNUMBER(Charges!G182),MAX(0,Charges!G182),IFERROR(VLOOKUP(Charges!G182,Paramètres!$A$15:$B$18,2,FALSE),0))),0)),0)</f>
        <v>0</v>
      </c>
      <c r="G182" t="n">
        <f>IF(3&lt;=Paramètres!$B$9,MAX(0,IFERROR(N(IF(ISNUMBER(Charges!H182),MAX(0,Charges!H182),IFERROR(VLOOKUP(Charges!H182,Paramètres!$A$15:$B$18,2,FALSE),0))),0)),0)</f>
        <v>0</v>
      </c>
      <c r="H182" t="n">
        <f>IF(4&lt;=Paramètres!$B$9,MAX(0,IFERROR(N(IF(ISNUMBER(Charges!I182),MAX(0,Charges!I182),IFERROR(VLOOKUP(Charges!I182,Paramètres!$A$15:$B$18,2,FALSE),0))),0)),0)</f>
        <v>0</v>
      </c>
      <c r="I182" t="n">
        <f>IF(5&lt;=Paramètres!$B$9,MAX(0,IFERROR(N(IF(ISNUMBER(Charges!J182),MAX(0,Charges!J182),IFERROR(VLOOKUP(Charges!J182,Paramètres!$A$15:$B$18,2,FALSE),0))),0)),0)</f>
        <v>0</v>
      </c>
      <c r="J182" t="n">
        <f>IF(6&lt;=Paramètres!$B$9,MAX(0,IFERROR(N(IF(ISNUMBER(Charges!K182),MAX(0,Charges!K182),IFERROR(VLOOKUP(Charges!K182,Paramètres!$A$15:$B$18,2,FALSE),0))),0)),0)</f>
        <v>0</v>
      </c>
      <c r="K182" t="n">
        <f>IF(7&lt;=Paramètres!$B$9,MAX(0,IFERROR(N(IF(ISNUMBER(Charges!L182),MAX(0,Charges!L182),IFERROR(VLOOKUP(Charges!L182,Paramètres!$A$15:$B$18,2,FALSE),0))),0)),0)</f>
        <v>0</v>
      </c>
      <c r="L182" t="n">
        <f>IF(8&lt;=Paramètres!$B$9,MAX(0,IFERROR(N(IF(ISNUMBER(Charges!M182),MAX(0,Charges!M182),IFERROR(VLOOKUP(Charges!M182,Paramètres!$A$15:$B$18,2,FALSE),0))),0)),0)</f>
        <v>0</v>
      </c>
      <c r="M182" t="n">
        <f>IF(9&lt;=Paramètres!$B$9,MAX(0,IFERROR(N(IF(ISNUMBER(Charges!N182),MAX(0,Charges!N182),IFERROR(VLOOKUP(Charges!N182,Paramètres!$A$15:$B$18,2,FALSE),0))),0)),0)</f>
        <v>0</v>
      </c>
      <c r="N182" t="n">
        <f>IF(10&lt;=Paramètres!$B$9,MAX(0,IFERROR(N(IF(ISNUMBER(Charges!O182),MAX(0,Charges!O182),IFERROR(VLOOKUP(Charges!O182,Paramètres!$A$15:$B$18,2,FALSE),0))),0)),0)</f>
        <v>0</v>
      </c>
      <c r="O182" t="n">
        <f>IF(11&lt;=Paramètres!$B$9,MAX(0,IFERROR(N(IF(ISNUMBER(Charges!P182),MAX(0,Charges!P182),IFERROR(VLOOKUP(Charges!P182,Paramètres!$A$15:$B$18,2,FALSE),0))),0)),0)</f>
        <v>0</v>
      </c>
      <c r="P182" t="n">
        <f>IF(12&lt;=Paramètres!$B$9,MAX(0,IFERROR(N(IF(ISNUMBER(Charges!Q182),MAX(0,Charges!Q182),IFERROR(VLOOKUP(Charges!Q182,Paramètres!$A$15:$B$18,2,FALSE),0))),0)),0)</f>
        <v>0</v>
      </c>
      <c r="Q182" t="n">
        <f>IF(13&lt;=Paramètres!$B$9,MAX(0,IFERROR(N(IF(ISNUMBER(Charges!R182),MAX(0,Charges!R182),IFERROR(VLOOKUP(Charges!R182,Paramètres!$A$15:$B$18,2,FALSE),0))),0)),0)</f>
        <v>0</v>
      </c>
      <c r="R182" t="n">
        <f>SUM(E182:Q182)</f>
        <v>0</v>
      </c>
      <c r="S182" t="n">
        <f>IF(IFERROR(VLOOKUP(A182,'Projets'!$A$8:$Z$67,7,FALSE),"")="Engager",1,0)</f>
        <v>0</v>
      </c>
      <c r="T182" t="n">
        <f>IF(OR(Charges!F182="",AND(ISNUMBER(Charges!F182),Charges!F182&gt;=0),Charges!F182="S",Charges!F182="M",Charges!F182="L",Charges!F182="XL"),0,1)+IF(OR(Charges!G182="",AND(ISNUMBER(Charges!G182),Charges!G182&gt;=0),Charges!G182="S",Charges!G182="M",Charges!G182="L",Charges!G182="XL"),0,1)+IF(OR(Charges!H182="",AND(ISNUMBER(Charges!H182),Charges!H182&gt;=0),Charges!H182="S",Charges!H182="M",Charges!H182="L",Charges!H182="XL"),0,1)+IF(OR(Charges!I182="",AND(ISNUMBER(Charges!I182),Charges!I182&gt;=0),Charges!I182="S",Charges!I182="M",Charges!I182="L",Charges!I182="XL"),0,1)+IF(OR(Charges!J182="",AND(ISNUMBER(Charges!J182),Charges!J182&gt;=0),Charges!J182="S",Charges!J182="M",Charges!J182="L",Charges!J182="XL"),0,1)+IF(OR(Charges!K182="",AND(ISNUMBER(Charges!K182),Charges!K182&gt;=0),Charges!K182="S",Charges!K182="M",Charges!K182="L",Charges!K182="XL"),0,1)+IF(OR(Charges!L182="",AND(ISNUMBER(Charges!L182),Charges!L182&gt;=0),Charges!L182="S",Charges!L182="M",Charges!L182="L",Charges!L182="XL"),0,1)+IF(OR(Charges!M182="",AND(ISNUMBER(Charges!M182),Charges!M182&gt;=0),Charges!M182="S",Charges!M182="M",Charges!M182="L",Charges!M182="XL"),0,1)+IF(OR(Charges!N182="",AND(ISNUMBER(Charges!N182),Charges!N182&gt;=0),Charges!N182="S",Charges!N182="M",Charges!N182="L",Charges!N182="XL"),0,1)+IF(OR(Charges!O182="",AND(ISNUMBER(Charges!O182),Charges!O182&gt;=0),Charges!O182="S",Charges!O182="M",Charges!O182="L",Charges!O182="XL"),0,1)+IF(OR(Charges!P182="",AND(ISNUMBER(Charges!P182),Charges!P182&gt;=0),Charges!P182="S",Charges!P182="M",Charges!P182="L",Charges!P182="XL"),0,1)+IF(OR(Charges!Q182="",AND(ISNUMBER(Charges!Q182),Charges!Q182&gt;=0),Charges!Q182="S",Charges!Q182="M",Charges!Q182="L",Charges!Q182="XL"),0,1)+IF(OR(Charges!R182="",AND(ISNUMBER(Charges!R182),Charges!R182&gt;=0),Charges!R182="S",Charges!R182="M",Charges!R182="L",Charges!R182="XL"),0,1)</f>
        <v>0</v>
      </c>
      <c r="U182" t="n">
        <f>IF(AND(1&gt;Paramètres!$B$9,Charges!F182&lt;&gt;"",Charges!F182&lt;&gt;0),1,0)+IF(AND(2&gt;Paramètres!$B$9,Charges!G182&lt;&gt;"",Charges!G182&lt;&gt;0),1,0)+IF(AND(3&gt;Paramètres!$B$9,Charges!H182&lt;&gt;"",Charges!H182&lt;&gt;0),1,0)+IF(AND(4&gt;Paramètres!$B$9,Charges!I182&lt;&gt;"",Charges!I182&lt;&gt;0),1,0)+IF(AND(5&gt;Paramètres!$B$9,Charges!J182&lt;&gt;"",Charges!J182&lt;&gt;0),1,0)+IF(AND(6&gt;Paramètres!$B$9,Charges!K182&lt;&gt;"",Charges!K182&lt;&gt;0),1,0)+IF(AND(7&gt;Paramètres!$B$9,Charges!L182&lt;&gt;"",Charges!L182&lt;&gt;0),1,0)+IF(AND(8&gt;Paramètres!$B$9,Charges!M182&lt;&gt;"",Charges!M182&lt;&gt;0),1,0)+IF(AND(9&gt;Paramètres!$B$9,Charges!N182&lt;&gt;"",Charges!N182&lt;&gt;0),1,0)+IF(AND(10&gt;Paramètres!$B$9,Charges!O182&lt;&gt;"",Charges!O182&lt;&gt;0),1,0)+IF(AND(11&gt;Paramètres!$B$9,Charges!P182&lt;&gt;"",Charges!P182&lt;&gt;0),1,0)+IF(AND(12&gt;Paramètres!$B$9,Charges!Q182&lt;&gt;"",Charges!Q182&lt;&gt;0),1,0)+IF(AND(13&gt;Paramètres!$B$9,Charges!R182&lt;&gt;"",Charges!R182&lt;&gt;0),1,0)</f>
        <v>0</v>
      </c>
      <c r="V182" t="n">
        <f>IF(IFERROR(VLOOKUP(A182,'Projets'!$A$8:$Z$67,5,FALSE),"")="Engager",1,0)</f>
        <v>0</v>
      </c>
      <c r="W182" t="n">
        <f>IF(IFERROR(VLOOKUP(A182,'Projets'!$A$8:$Z$67,6,FALSE),"")="Engager",1,0)</f>
        <v>0</v>
      </c>
      <c r="X182" t="n">
        <f>E182*S182</f>
        <v>0</v>
      </c>
      <c r="Y182" t="n">
        <f>F182*S182</f>
        <v>0</v>
      </c>
      <c r="Z182" t="n">
        <f>G182*S182</f>
        <v>0</v>
      </c>
      <c r="AA182" t="n">
        <f>H182*S182</f>
        <v>0</v>
      </c>
      <c r="AB182" t="n">
        <f>I182*S182</f>
        <v>0</v>
      </c>
      <c r="AC182" t="n">
        <f>J182*S182</f>
        <v>0</v>
      </c>
      <c r="AD182" t="n">
        <f>K182*S182</f>
        <v>0</v>
      </c>
      <c r="AE182" t="n">
        <f>L182*S182</f>
        <v>0</v>
      </c>
      <c r="AF182" t="n">
        <f>M182*S182</f>
        <v>0</v>
      </c>
      <c r="AG182" t="n">
        <f>N182*S182</f>
        <v>0</v>
      </c>
      <c r="AH182" t="n">
        <f>O182*S182</f>
        <v>0</v>
      </c>
      <c r="AI182" t="n">
        <f>P182*S182</f>
        <v>0</v>
      </c>
      <c r="AJ182" t="n">
        <f>Q182*S182</f>
        <v>0</v>
      </c>
      <c r="AK182" t="n">
        <f>E182*V182</f>
        <v>0</v>
      </c>
      <c r="AL182" t="n">
        <f>F182*V182</f>
        <v>0</v>
      </c>
      <c r="AM182" t="n">
        <f>G182*V182</f>
        <v>0</v>
      </c>
      <c r="AN182" t="n">
        <f>H182*V182</f>
        <v>0</v>
      </c>
      <c r="AO182" t="n">
        <f>I182*V182</f>
        <v>0</v>
      </c>
      <c r="AP182" t="n">
        <f>J182*V182</f>
        <v>0</v>
      </c>
      <c r="AQ182" t="n">
        <f>K182*V182</f>
        <v>0</v>
      </c>
      <c r="AR182" t="n">
        <f>L182*V182</f>
        <v>0</v>
      </c>
      <c r="AS182" t="n">
        <f>M182*V182</f>
        <v>0</v>
      </c>
      <c r="AT182" t="n">
        <f>N182*V182</f>
        <v>0</v>
      </c>
      <c r="AU182" t="n">
        <f>O182*V182</f>
        <v>0</v>
      </c>
      <c r="AV182" t="n">
        <f>P182*V182</f>
        <v>0</v>
      </c>
      <c r="AW182" t="n">
        <f>Q182*V182</f>
        <v>0</v>
      </c>
      <c r="AX182" t="n">
        <f>E182*W182</f>
        <v>0</v>
      </c>
      <c r="AY182" t="n">
        <f>F182*W182</f>
        <v>0</v>
      </c>
      <c r="AZ182" t="n">
        <f>G182*W182</f>
        <v>0</v>
      </c>
      <c r="BA182" t="n">
        <f>H182*W182</f>
        <v>0</v>
      </c>
      <c r="BB182" t="n">
        <f>I182*W182</f>
        <v>0</v>
      </c>
      <c r="BC182" t="n">
        <f>J182*W182</f>
        <v>0</v>
      </c>
      <c r="BD182" t="n">
        <f>K182*W182</f>
        <v>0</v>
      </c>
      <c r="BE182" t="n">
        <f>L182*W182</f>
        <v>0</v>
      </c>
      <c r="BF182" t="n">
        <f>M182*W182</f>
        <v>0</v>
      </c>
      <c r="BG182" t="n">
        <f>N182*W182</f>
        <v>0</v>
      </c>
      <c r="BH182" t="n">
        <f>O182*W182</f>
        <v>0</v>
      </c>
      <c r="BI182" t="n">
        <f>P182*W182</f>
        <v>0</v>
      </c>
      <c r="BJ182" t="n">
        <f>Q182*W182</f>
        <v>0</v>
      </c>
    </row>
    <row r="183">
      <c r="A183" t="n">
        <f>Charges!A183</f>
        <v>0</v>
      </c>
      <c r="B183" t="n">
        <f>Charges!C183</f>
        <v>0</v>
      </c>
      <c r="C183" t="str">
        <f>Charges!D183</f>
        <v/>
      </c>
      <c r="E183" t="n">
        <f>IF(1&lt;=Paramètres!$B$9,MAX(0,IFERROR(N(IF(ISNUMBER(Charges!F183),MAX(0,Charges!F183),IFERROR(VLOOKUP(Charges!F183,Paramètres!$A$15:$B$18,2,FALSE),0))),0)),0)</f>
        <v>0</v>
      </c>
      <c r="F183" t="n">
        <f>IF(2&lt;=Paramètres!$B$9,MAX(0,IFERROR(N(IF(ISNUMBER(Charges!G183),MAX(0,Charges!G183),IFERROR(VLOOKUP(Charges!G183,Paramètres!$A$15:$B$18,2,FALSE),0))),0)),0)</f>
        <v>0</v>
      </c>
      <c r="G183" t="n">
        <f>IF(3&lt;=Paramètres!$B$9,MAX(0,IFERROR(N(IF(ISNUMBER(Charges!H183),MAX(0,Charges!H183),IFERROR(VLOOKUP(Charges!H183,Paramètres!$A$15:$B$18,2,FALSE),0))),0)),0)</f>
        <v>0</v>
      </c>
      <c r="H183" t="n">
        <f>IF(4&lt;=Paramètres!$B$9,MAX(0,IFERROR(N(IF(ISNUMBER(Charges!I183),MAX(0,Charges!I183),IFERROR(VLOOKUP(Charges!I183,Paramètres!$A$15:$B$18,2,FALSE),0))),0)),0)</f>
        <v>0</v>
      </c>
      <c r="I183" t="n">
        <f>IF(5&lt;=Paramètres!$B$9,MAX(0,IFERROR(N(IF(ISNUMBER(Charges!J183),MAX(0,Charges!J183),IFERROR(VLOOKUP(Charges!J183,Paramètres!$A$15:$B$18,2,FALSE),0))),0)),0)</f>
        <v>0</v>
      </c>
      <c r="J183" t="n">
        <f>IF(6&lt;=Paramètres!$B$9,MAX(0,IFERROR(N(IF(ISNUMBER(Charges!K183),MAX(0,Charges!K183),IFERROR(VLOOKUP(Charges!K183,Paramètres!$A$15:$B$18,2,FALSE),0))),0)),0)</f>
        <v>0</v>
      </c>
      <c r="K183" t="n">
        <f>IF(7&lt;=Paramètres!$B$9,MAX(0,IFERROR(N(IF(ISNUMBER(Charges!L183),MAX(0,Charges!L183),IFERROR(VLOOKUP(Charges!L183,Paramètres!$A$15:$B$18,2,FALSE),0))),0)),0)</f>
        <v>0</v>
      </c>
      <c r="L183" t="n">
        <f>IF(8&lt;=Paramètres!$B$9,MAX(0,IFERROR(N(IF(ISNUMBER(Charges!M183),MAX(0,Charges!M183),IFERROR(VLOOKUP(Charges!M183,Paramètres!$A$15:$B$18,2,FALSE),0))),0)),0)</f>
        <v>0</v>
      </c>
      <c r="M183" t="n">
        <f>IF(9&lt;=Paramètres!$B$9,MAX(0,IFERROR(N(IF(ISNUMBER(Charges!N183),MAX(0,Charges!N183),IFERROR(VLOOKUP(Charges!N183,Paramètres!$A$15:$B$18,2,FALSE),0))),0)),0)</f>
        <v>0</v>
      </c>
      <c r="N183" t="n">
        <f>IF(10&lt;=Paramètres!$B$9,MAX(0,IFERROR(N(IF(ISNUMBER(Charges!O183),MAX(0,Charges!O183),IFERROR(VLOOKUP(Charges!O183,Paramètres!$A$15:$B$18,2,FALSE),0))),0)),0)</f>
        <v>0</v>
      </c>
      <c r="O183" t="n">
        <f>IF(11&lt;=Paramètres!$B$9,MAX(0,IFERROR(N(IF(ISNUMBER(Charges!P183),MAX(0,Charges!P183),IFERROR(VLOOKUP(Charges!P183,Paramètres!$A$15:$B$18,2,FALSE),0))),0)),0)</f>
        <v>0</v>
      </c>
      <c r="P183" t="n">
        <f>IF(12&lt;=Paramètres!$B$9,MAX(0,IFERROR(N(IF(ISNUMBER(Charges!Q183),MAX(0,Charges!Q183),IFERROR(VLOOKUP(Charges!Q183,Paramètres!$A$15:$B$18,2,FALSE),0))),0)),0)</f>
        <v>0</v>
      </c>
      <c r="Q183" t="n">
        <f>IF(13&lt;=Paramètres!$B$9,MAX(0,IFERROR(N(IF(ISNUMBER(Charges!R183),MAX(0,Charges!R183),IFERROR(VLOOKUP(Charges!R183,Paramètres!$A$15:$B$18,2,FALSE),0))),0)),0)</f>
        <v>0</v>
      </c>
      <c r="R183" t="n">
        <f>SUM(E183:Q183)</f>
        <v>0</v>
      </c>
      <c r="S183" t="n">
        <f>IF(IFERROR(VLOOKUP(A183,'Projets'!$A$8:$Z$67,7,FALSE),"")="Engager",1,0)</f>
        <v>0</v>
      </c>
      <c r="T183" t="n">
        <f>IF(OR(Charges!F183="",AND(ISNUMBER(Charges!F183),Charges!F183&gt;=0),Charges!F183="S",Charges!F183="M",Charges!F183="L",Charges!F183="XL"),0,1)+IF(OR(Charges!G183="",AND(ISNUMBER(Charges!G183),Charges!G183&gt;=0),Charges!G183="S",Charges!G183="M",Charges!G183="L",Charges!G183="XL"),0,1)+IF(OR(Charges!H183="",AND(ISNUMBER(Charges!H183),Charges!H183&gt;=0),Charges!H183="S",Charges!H183="M",Charges!H183="L",Charges!H183="XL"),0,1)+IF(OR(Charges!I183="",AND(ISNUMBER(Charges!I183),Charges!I183&gt;=0),Charges!I183="S",Charges!I183="M",Charges!I183="L",Charges!I183="XL"),0,1)+IF(OR(Charges!J183="",AND(ISNUMBER(Charges!J183),Charges!J183&gt;=0),Charges!J183="S",Charges!J183="M",Charges!J183="L",Charges!J183="XL"),0,1)+IF(OR(Charges!K183="",AND(ISNUMBER(Charges!K183),Charges!K183&gt;=0),Charges!K183="S",Charges!K183="M",Charges!K183="L",Charges!K183="XL"),0,1)+IF(OR(Charges!L183="",AND(ISNUMBER(Charges!L183),Charges!L183&gt;=0),Charges!L183="S",Charges!L183="M",Charges!L183="L",Charges!L183="XL"),0,1)+IF(OR(Charges!M183="",AND(ISNUMBER(Charges!M183),Charges!M183&gt;=0),Charges!M183="S",Charges!M183="M",Charges!M183="L",Charges!M183="XL"),0,1)+IF(OR(Charges!N183="",AND(ISNUMBER(Charges!N183),Charges!N183&gt;=0),Charges!N183="S",Charges!N183="M",Charges!N183="L",Charges!N183="XL"),0,1)+IF(OR(Charges!O183="",AND(ISNUMBER(Charges!O183),Charges!O183&gt;=0),Charges!O183="S",Charges!O183="M",Charges!O183="L",Charges!O183="XL"),0,1)+IF(OR(Charges!P183="",AND(ISNUMBER(Charges!P183),Charges!P183&gt;=0),Charges!P183="S",Charges!P183="M",Charges!P183="L",Charges!P183="XL"),0,1)+IF(OR(Charges!Q183="",AND(ISNUMBER(Charges!Q183),Charges!Q183&gt;=0),Charges!Q183="S",Charges!Q183="M",Charges!Q183="L",Charges!Q183="XL"),0,1)+IF(OR(Charges!R183="",AND(ISNUMBER(Charges!R183),Charges!R183&gt;=0),Charges!R183="S",Charges!R183="M",Charges!R183="L",Charges!R183="XL"),0,1)</f>
        <v>0</v>
      </c>
      <c r="U183" t="n">
        <f>IF(AND(1&gt;Paramètres!$B$9,Charges!F183&lt;&gt;"",Charges!F183&lt;&gt;0),1,0)+IF(AND(2&gt;Paramètres!$B$9,Charges!G183&lt;&gt;"",Charges!G183&lt;&gt;0),1,0)+IF(AND(3&gt;Paramètres!$B$9,Charges!H183&lt;&gt;"",Charges!H183&lt;&gt;0),1,0)+IF(AND(4&gt;Paramètres!$B$9,Charges!I183&lt;&gt;"",Charges!I183&lt;&gt;0),1,0)+IF(AND(5&gt;Paramètres!$B$9,Charges!J183&lt;&gt;"",Charges!J183&lt;&gt;0),1,0)+IF(AND(6&gt;Paramètres!$B$9,Charges!K183&lt;&gt;"",Charges!K183&lt;&gt;0),1,0)+IF(AND(7&gt;Paramètres!$B$9,Charges!L183&lt;&gt;"",Charges!L183&lt;&gt;0),1,0)+IF(AND(8&gt;Paramètres!$B$9,Charges!M183&lt;&gt;"",Charges!M183&lt;&gt;0),1,0)+IF(AND(9&gt;Paramètres!$B$9,Charges!N183&lt;&gt;"",Charges!N183&lt;&gt;0),1,0)+IF(AND(10&gt;Paramètres!$B$9,Charges!O183&lt;&gt;"",Charges!O183&lt;&gt;0),1,0)+IF(AND(11&gt;Paramètres!$B$9,Charges!P183&lt;&gt;"",Charges!P183&lt;&gt;0),1,0)+IF(AND(12&gt;Paramètres!$B$9,Charges!Q183&lt;&gt;"",Charges!Q183&lt;&gt;0),1,0)+IF(AND(13&gt;Paramètres!$B$9,Charges!R183&lt;&gt;"",Charges!R183&lt;&gt;0),1,0)</f>
        <v>0</v>
      </c>
      <c r="V183" t="n">
        <f>IF(IFERROR(VLOOKUP(A183,'Projets'!$A$8:$Z$67,5,FALSE),"")="Engager",1,0)</f>
        <v>0</v>
      </c>
      <c r="W183" t="n">
        <f>IF(IFERROR(VLOOKUP(A183,'Projets'!$A$8:$Z$67,6,FALSE),"")="Engager",1,0)</f>
        <v>0</v>
      </c>
      <c r="X183" t="n">
        <f>E183*S183</f>
        <v>0</v>
      </c>
      <c r="Y183" t="n">
        <f>F183*S183</f>
        <v>0</v>
      </c>
      <c r="Z183" t="n">
        <f>G183*S183</f>
        <v>0</v>
      </c>
      <c r="AA183" t="n">
        <f>H183*S183</f>
        <v>0</v>
      </c>
      <c r="AB183" t="n">
        <f>I183*S183</f>
        <v>0</v>
      </c>
      <c r="AC183" t="n">
        <f>J183*S183</f>
        <v>0</v>
      </c>
      <c r="AD183" t="n">
        <f>K183*S183</f>
        <v>0</v>
      </c>
      <c r="AE183" t="n">
        <f>L183*S183</f>
        <v>0</v>
      </c>
      <c r="AF183" t="n">
        <f>M183*S183</f>
        <v>0</v>
      </c>
      <c r="AG183" t="n">
        <f>N183*S183</f>
        <v>0</v>
      </c>
      <c r="AH183" t="n">
        <f>O183*S183</f>
        <v>0</v>
      </c>
      <c r="AI183" t="n">
        <f>P183*S183</f>
        <v>0</v>
      </c>
      <c r="AJ183" t="n">
        <f>Q183*S183</f>
        <v>0</v>
      </c>
      <c r="AK183" t="n">
        <f>E183*V183</f>
        <v>0</v>
      </c>
      <c r="AL183" t="n">
        <f>F183*V183</f>
        <v>0</v>
      </c>
      <c r="AM183" t="n">
        <f>G183*V183</f>
        <v>0</v>
      </c>
      <c r="AN183" t="n">
        <f>H183*V183</f>
        <v>0</v>
      </c>
      <c r="AO183" t="n">
        <f>I183*V183</f>
        <v>0</v>
      </c>
      <c r="AP183" t="n">
        <f>J183*V183</f>
        <v>0</v>
      </c>
      <c r="AQ183" t="n">
        <f>K183*V183</f>
        <v>0</v>
      </c>
      <c r="AR183" t="n">
        <f>L183*V183</f>
        <v>0</v>
      </c>
      <c r="AS183" t="n">
        <f>M183*V183</f>
        <v>0</v>
      </c>
      <c r="AT183" t="n">
        <f>N183*V183</f>
        <v>0</v>
      </c>
      <c r="AU183" t="n">
        <f>O183*V183</f>
        <v>0</v>
      </c>
      <c r="AV183" t="n">
        <f>P183*V183</f>
        <v>0</v>
      </c>
      <c r="AW183" t="n">
        <f>Q183*V183</f>
        <v>0</v>
      </c>
      <c r="AX183" t="n">
        <f>E183*W183</f>
        <v>0</v>
      </c>
      <c r="AY183" t="n">
        <f>F183*W183</f>
        <v>0</v>
      </c>
      <c r="AZ183" t="n">
        <f>G183*W183</f>
        <v>0</v>
      </c>
      <c r="BA183" t="n">
        <f>H183*W183</f>
        <v>0</v>
      </c>
      <c r="BB183" t="n">
        <f>I183*W183</f>
        <v>0</v>
      </c>
      <c r="BC183" t="n">
        <f>J183*W183</f>
        <v>0</v>
      </c>
      <c r="BD183" t="n">
        <f>K183*W183</f>
        <v>0</v>
      </c>
      <c r="BE183" t="n">
        <f>L183*W183</f>
        <v>0</v>
      </c>
      <c r="BF183" t="n">
        <f>M183*W183</f>
        <v>0</v>
      </c>
      <c r="BG183" t="n">
        <f>N183*W183</f>
        <v>0</v>
      </c>
      <c r="BH183" t="n">
        <f>O183*W183</f>
        <v>0</v>
      </c>
      <c r="BI183" t="n">
        <f>P183*W183</f>
        <v>0</v>
      </c>
      <c r="BJ183" t="n">
        <f>Q183*W183</f>
        <v>0</v>
      </c>
    </row>
    <row r="184">
      <c r="A184" t="n">
        <f>Charges!A184</f>
        <v>0</v>
      </c>
      <c r="B184" t="n">
        <f>Charges!C184</f>
        <v>0</v>
      </c>
      <c r="C184" t="str">
        <f>Charges!D184</f>
        <v/>
      </c>
      <c r="E184" t="n">
        <f>IF(1&lt;=Paramètres!$B$9,MAX(0,IFERROR(N(IF(ISNUMBER(Charges!F184),MAX(0,Charges!F184),IFERROR(VLOOKUP(Charges!F184,Paramètres!$A$15:$B$18,2,FALSE),0))),0)),0)</f>
        <v>0</v>
      </c>
      <c r="F184" t="n">
        <f>IF(2&lt;=Paramètres!$B$9,MAX(0,IFERROR(N(IF(ISNUMBER(Charges!G184),MAX(0,Charges!G184),IFERROR(VLOOKUP(Charges!G184,Paramètres!$A$15:$B$18,2,FALSE),0))),0)),0)</f>
        <v>0</v>
      </c>
      <c r="G184" t="n">
        <f>IF(3&lt;=Paramètres!$B$9,MAX(0,IFERROR(N(IF(ISNUMBER(Charges!H184),MAX(0,Charges!H184),IFERROR(VLOOKUP(Charges!H184,Paramètres!$A$15:$B$18,2,FALSE),0))),0)),0)</f>
        <v>0</v>
      </c>
      <c r="H184" t="n">
        <f>IF(4&lt;=Paramètres!$B$9,MAX(0,IFERROR(N(IF(ISNUMBER(Charges!I184),MAX(0,Charges!I184),IFERROR(VLOOKUP(Charges!I184,Paramètres!$A$15:$B$18,2,FALSE),0))),0)),0)</f>
        <v>0</v>
      </c>
      <c r="I184" t="n">
        <f>IF(5&lt;=Paramètres!$B$9,MAX(0,IFERROR(N(IF(ISNUMBER(Charges!J184),MAX(0,Charges!J184),IFERROR(VLOOKUP(Charges!J184,Paramètres!$A$15:$B$18,2,FALSE),0))),0)),0)</f>
        <v>0</v>
      </c>
      <c r="J184" t="n">
        <f>IF(6&lt;=Paramètres!$B$9,MAX(0,IFERROR(N(IF(ISNUMBER(Charges!K184),MAX(0,Charges!K184),IFERROR(VLOOKUP(Charges!K184,Paramètres!$A$15:$B$18,2,FALSE),0))),0)),0)</f>
        <v>0</v>
      </c>
      <c r="K184" t="n">
        <f>IF(7&lt;=Paramètres!$B$9,MAX(0,IFERROR(N(IF(ISNUMBER(Charges!L184),MAX(0,Charges!L184),IFERROR(VLOOKUP(Charges!L184,Paramètres!$A$15:$B$18,2,FALSE),0))),0)),0)</f>
        <v>0</v>
      </c>
      <c r="L184" t="n">
        <f>IF(8&lt;=Paramètres!$B$9,MAX(0,IFERROR(N(IF(ISNUMBER(Charges!M184),MAX(0,Charges!M184),IFERROR(VLOOKUP(Charges!M184,Paramètres!$A$15:$B$18,2,FALSE),0))),0)),0)</f>
        <v>0</v>
      </c>
      <c r="M184" t="n">
        <f>IF(9&lt;=Paramètres!$B$9,MAX(0,IFERROR(N(IF(ISNUMBER(Charges!N184),MAX(0,Charges!N184),IFERROR(VLOOKUP(Charges!N184,Paramètres!$A$15:$B$18,2,FALSE),0))),0)),0)</f>
        <v>0</v>
      </c>
      <c r="N184" t="n">
        <f>IF(10&lt;=Paramètres!$B$9,MAX(0,IFERROR(N(IF(ISNUMBER(Charges!O184),MAX(0,Charges!O184),IFERROR(VLOOKUP(Charges!O184,Paramètres!$A$15:$B$18,2,FALSE),0))),0)),0)</f>
        <v>0</v>
      </c>
      <c r="O184" t="n">
        <f>IF(11&lt;=Paramètres!$B$9,MAX(0,IFERROR(N(IF(ISNUMBER(Charges!P184),MAX(0,Charges!P184),IFERROR(VLOOKUP(Charges!P184,Paramètres!$A$15:$B$18,2,FALSE),0))),0)),0)</f>
        <v>0</v>
      </c>
      <c r="P184" t="n">
        <f>IF(12&lt;=Paramètres!$B$9,MAX(0,IFERROR(N(IF(ISNUMBER(Charges!Q184),MAX(0,Charges!Q184),IFERROR(VLOOKUP(Charges!Q184,Paramètres!$A$15:$B$18,2,FALSE),0))),0)),0)</f>
        <v>0</v>
      </c>
      <c r="Q184" t="n">
        <f>IF(13&lt;=Paramètres!$B$9,MAX(0,IFERROR(N(IF(ISNUMBER(Charges!R184),MAX(0,Charges!R184),IFERROR(VLOOKUP(Charges!R184,Paramètres!$A$15:$B$18,2,FALSE),0))),0)),0)</f>
        <v>0</v>
      </c>
      <c r="R184" t="n">
        <f>SUM(E184:Q184)</f>
        <v>0</v>
      </c>
      <c r="S184" t="n">
        <f>IF(IFERROR(VLOOKUP(A184,'Projets'!$A$8:$Z$67,7,FALSE),"")="Engager",1,0)</f>
        <v>0</v>
      </c>
      <c r="T184" t="n">
        <f>IF(OR(Charges!F184="",AND(ISNUMBER(Charges!F184),Charges!F184&gt;=0),Charges!F184="S",Charges!F184="M",Charges!F184="L",Charges!F184="XL"),0,1)+IF(OR(Charges!G184="",AND(ISNUMBER(Charges!G184),Charges!G184&gt;=0),Charges!G184="S",Charges!G184="M",Charges!G184="L",Charges!G184="XL"),0,1)+IF(OR(Charges!H184="",AND(ISNUMBER(Charges!H184),Charges!H184&gt;=0),Charges!H184="S",Charges!H184="M",Charges!H184="L",Charges!H184="XL"),0,1)+IF(OR(Charges!I184="",AND(ISNUMBER(Charges!I184),Charges!I184&gt;=0),Charges!I184="S",Charges!I184="M",Charges!I184="L",Charges!I184="XL"),0,1)+IF(OR(Charges!J184="",AND(ISNUMBER(Charges!J184),Charges!J184&gt;=0),Charges!J184="S",Charges!J184="M",Charges!J184="L",Charges!J184="XL"),0,1)+IF(OR(Charges!K184="",AND(ISNUMBER(Charges!K184),Charges!K184&gt;=0),Charges!K184="S",Charges!K184="M",Charges!K184="L",Charges!K184="XL"),0,1)+IF(OR(Charges!L184="",AND(ISNUMBER(Charges!L184),Charges!L184&gt;=0),Charges!L184="S",Charges!L184="M",Charges!L184="L",Charges!L184="XL"),0,1)+IF(OR(Charges!M184="",AND(ISNUMBER(Charges!M184),Charges!M184&gt;=0),Charges!M184="S",Charges!M184="M",Charges!M184="L",Charges!M184="XL"),0,1)+IF(OR(Charges!N184="",AND(ISNUMBER(Charges!N184),Charges!N184&gt;=0),Charges!N184="S",Charges!N184="M",Charges!N184="L",Charges!N184="XL"),0,1)+IF(OR(Charges!O184="",AND(ISNUMBER(Charges!O184),Charges!O184&gt;=0),Charges!O184="S",Charges!O184="M",Charges!O184="L",Charges!O184="XL"),0,1)+IF(OR(Charges!P184="",AND(ISNUMBER(Charges!P184),Charges!P184&gt;=0),Charges!P184="S",Charges!P184="M",Charges!P184="L",Charges!P184="XL"),0,1)+IF(OR(Charges!Q184="",AND(ISNUMBER(Charges!Q184),Charges!Q184&gt;=0),Charges!Q184="S",Charges!Q184="M",Charges!Q184="L",Charges!Q184="XL"),0,1)+IF(OR(Charges!R184="",AND(ISNUMBER(Charges!R184),Charges!R184&gt;=0),Charges!R184="S",Charges!R184="M",Charges!R184="L",Charges!R184="XL"),0,1)</f>
        <v>0</v>
      </c>
      <c r="U184" t="n">
        <f>IF(AND(1&gt;Paramètres!$B$9,Charges!F184&lt;&gt;"",Charges!F184&lt;&gt;0),1,0)+IF(AND(2&gt;Paramètres!$B$9,Charges!G184&lt;&gt;"",Charges!G184&lt;&gt;0),1,0)+IF(AND(3&gt;Paramètres!$B$9,Charges!H184&lt;&gt;"",Charges!H184&lt;&gt;0),1,0)+IF(AND(4&gt;Paramètres!$B$9,Charges!I184&lt;&gt;"",Charges!I184&lt;&gt;0),1,0)+IF(AND(5&gt;Paramètres!$B$9,Charges!J184&lt;&gt;"",Charges!J184&lt;&gt;0),1,0)+IF(AND(6&gt;Paramètres!$B$9,Charges!K184&lt;&gt;"",Charges!K184&lt;&gt;0),1,0)+IF(AND(7&gt;Paramètres!$B$9,Charges!L184&lt;&gt;"",Charges!L184&lt;&gt;0),1,0)+IF(AND(8&gt;Paramètres!$B$9,Charges!M184&lt;&gt;"",Charges!M184&lt;&gt;0),1,0)+IF(AND(9&gt;Paramètres!$B$9,Charges!N184&lt;&gt;"",Charges!N184&lt;&gt;0),1,0)+IF(AND(10&gt;Paramètres!$B$9,Charges!O184&lt;&gt;"",Charges!O184&lt;&gt;0),1,0)+IF(AND(11&gt;Paramètres!$B$9,Charges!P184&lt;&gt;"",Charges!P184&lt;&gt;0),1,0)+IF(AND(12&gt;Paramètres!$B$9,Charges!Q184&lt;&gt;"",Charges!Q184&lt;&gt;0),1,0)+IF(AND(13&gt;Paramètres!$B$9,Charges!R184&lt;&gt;"",Charges!R184&lt;&gt;0),1,0)</f>
        <v>0</v>
      </c>
      <c r="V184" t="n">
        <f>IF(IFERROR(VLOOKUP(A184,'Projets'!$A$8:$Z$67,5,FALSE),"")="Engager",1,0)</f>
        <v>0</v>
      </c>
      <c r="W184" t="n">
        <f>IF(IFERROR(VLOOKUP(A184,'Projets'!$A$8:$Z$67,6,FALSE),"")="Engager",1,0)</f>
        <v>0</v>
      </c>
      <c r="X184" t="n">
        <f>E184*S184</f>
        <v>0</v>
      </c>
      <c r="Y184" t="n">
        <f>F184*S184</f>
        <v>0</v>
      </c>
      <c r="Z184" t="n">
        <f>G184*S184</f>
        <v>0</v>
      </c>
      <c r="AA184" t="n">
        <f>H184*S184</f>
        <v>0</v>
      </c>
      <c r="AB184" t="n">
        <f>I184*S184</f>
        <v>0</v>
      </c>
      <c r="AC184" t="n">
        <f>J184*S184</f>
        <v>0</v>
      </c>
      <c r="AD184" t="n">
        <f>K184*S184</f>
        <v>0</v>
      </c>
      <c r="AE184" t="n">
        <f>L184*S184</f>
        <v>0</v>
      </c>
      <c r="AF184" t="n">
        <f>M184*S184</f>
        <v>0</v>
      </c>
      <c r="AG184" t="n">
        <f>N184*S184</f>
        <v>0</v>
      </c>
      <c r="AH184" t="n">
        <f>O184*S184</f>
        <v>0</v>
      </c>
      <c r="AI184" t="n">
        <f>P184*S184</f>
        <v>0</v>
      </c>
      <c r="AJ184" t="n">
        <f>Q184*S184</f>
        <v>0</v>
      </c>
      <c r="AK184" t="n">
        <f>E184*V184</f>
        <v>0</v>
      </c>
      <c r="AL184" t="n">
        <f>F184*V184</f>
        <v>0</v>
      </c>
      <c r="AM184" t="n">
        <f>G184*V184</f>
        <v>0</v>
      </c>
      <c r="AN184" t="n">
        <f>H184*V184</f>
        <v>0</v>
      </c>
      <c r="AO184" t="n">
        <f>I184*V184</f>
        <v>0</v>
      </c>
      <c r="AP184" t="n">
        <f>J184*V184</f>
        <v>0</v>
      </c>
      <c r="AQ184" t="n">
        <f>K184*V184</f>
        <v>0</v>
      </c>
      <c r="AR184" t="n">
        <f>L184*V184</f>
        <v>0</v>
      </c>
      <c r="AS184" t="n">
        <f>M184*V184</f>
        <v>0</v>
      </c>
      <c r="AT184" t="n">
        <f>N184*V184</f>
        <v>0</v>
      </c>
      <c r="AU184" t="n">
        <f>O184*V184</f>
        <v>0</v>
      </c>
      <c r="AV184" t="n">
        <f>P184*V184</f>
        <v>0</v>
      </c>
      <c r="AW184" t="n">
        <f>Q184*V184</f>
        <v>0</v>
      </c>
      <c r="AX184" t="n">
        <f>E184*W184</f>
        <v>0</v>
      </c>
      <c r="AY184" t="n">
        <f>F184*W184</f>
        <v>0</v>
      </c>
      <c r="AZ184" t="n">
        <f>G184*W184</f>
        <v>0</v>
      </c>
      <c r="BA184" t="n">
        <f>H184*W184</f>
        <v>0</v>
      </c>
      <c r="BB184" t="n">
        <f>I184*W184</f>
        <v>0</v>
      </c>
      <c r="BC184" t="n">
        <f>J184*W184</f>
        <v>0</v>
      </c>
      <c r="BD184" t="n">
        <f>K184*W184</f>
        <v>0</v>
      </c>
      <c r="BE184" t="n">
        <f>L184*W184</f>
        <v>0</v>
      </c>
      <c r="BF184" t="n">
        <f>M184*W184</f>
        <v>0</v>
      </c>
      <c r="BG184" t="n">
        <f>N184*W184</f>
        <v>0</v>
      </c>
      <c r="BH184" t="n">
        <f>O184*W184</f>
        <v>0</v>
      </c>
      <c r="BI184" t="n">
        <f>P184*W184</f>
        <v>0</v>
      </c>
      <c r="BJ184" t="n">
        <f>Q184*W184</f>
        <v>0</v>
      </c>
    </row>
    <row r="185">
      <c r="A185" t="n">
        <f>Charges!A185</f>
        <v>0</v>
      </c>
      <c r="B185" t="n">
        <f>Charges!C185</f>
        <v>0</v>
      </c>
      <c r="C185" t="str">
        <f>Charges!D185</f>
        <v/>
      </c>
      <c r="E185" t="n">
        <f>IF(1&lt;=Paramètres!$B$9,MAX(0,IFERROR(N(IF(ISNUMBER(Charges!F185),MAX(0,Charges!F185),IFERROR(VLOOKUP(Charges!F185,Paramètres!$A$15:$B$18,2,FALSE),0))),0)),0)</f>
        <v>0</v>
      </c>
      <c r="F185" t="n">
        <f>IF(2&lt;=Paramètres!$B$9,MAX(0,IFERROR(N(IF(ISNUMBER(Charges!G185),MAX(0,Charges!G185),IFERROR(VLOOKUP(Charges!G185,Paramètres!$A$15:$B$18,2,FALSE),0))),0)),0)</f>
        <v>0</v>
      </c>
      <c r="G185" t="n">
        <f>IF(3&lt;=Paramètres!$B$9,MAX(0,IFERROR(N(IF(ISNUMBER(Charges!H185),MAX(0,Charges!H185),IFERROR(VLOOKUP(Charges!H185,Paramètres!$A$15:$B$18,2,FALSE),0))),0)),0)</f>
        <v>0</v>
      </c>
      <c r="H185" t="n">
        <f>IF(4&lt;=Paramètres!$B$9,MAX(0,IFERROR(N(IF(ISNUMBER(Charges!I185),MAX(0,Charges!I185),IFERROR(VLOOKUP(Charges!I185,Paramètres!$A$15:$B$18,2,FALSE),0))),0)),0)</f>
        <v>0</v>
      </c>
      <c r="I185" t="n">
        <f>IF(5&lt;=Paramètres!$B$9,MAX(0,IFERROR(N(IF(ISNUMBER(Charges!J185),MAX(0,Charges!J185),IFERROR(VLOOKUP(Charges!J185,Paramètres!$A$15:$B$18,2,FALSE),0))),0)),0)</f>
        <v>0</v>
      </c>
      <c r="J185" t="n">
        <f>IF(6&lt;=Paramètres!$B$9,MAX(0,IFERROR(N(IF(ISNUMBER(Charges!K185),MAX(0,Charges!K185),IFERROR(VLOOKUP(Charges!K185,Paramètres!$A$15:$B$18,2,FALSE),0))),0)),0)</f>
        <v>0</v>
      </c>
      <c r="K185" t="n">
        <f>IF(7&lt;=Paramètres!$B$9,MAX(0,IFERROR(N(IF(ISNUMBER(Charges!L185),MAX(0,Charges!L185),IFERROR(VLOOKUP(Charges!L185,Paramètres!$A$15:$B$18,2,FALSE),0))),0)),0)</f>
        <v>0</v>
      </c>
      <c r="L185" t="n">
        <f>IF(8&lt;=Paramètres!$B$9,MAX(0,IFERROR(N(IF(ISNUMBER(Charges!M185),MAX(0,Charges!M185),IFERROR(VLOOKUP(Charges!M185,Paramètres!$A$15:$B$18,2,FALSE),0))),0)),0)</f>
        <v>0</v>
      </c>
      <c r="M185" t="n">
        <f>IF(9&lt;=Paramètres!$B$9,MAX(0,IFERROR(N(IF(ISNUMBER(Charges!N185),MAX(0,Charges!N185),IFERROR(VLOOKUP(Charges!N185,Paramètres!$A$15:$B$18,2,FALSE),0))),0)),0)</f>
        <v>0</v>
      </c>
      <c r="N185" t="n">
        <f>IF(10&lt;=Paramètres!$B$9,MAX(0,IFERROR(N(IF(ISNUMBER(Charges!O185),MAX(0,Charges!O185),IFERROR(VLOOKUP(Charges!O185,Paramètres!$A$15:$B$18,2,FALSE),0))),0)),0)</f>
        <v>0</v>
      </c>
      <c r="O185" t="n">
        <f>IF(11&lt;=Paramètres!$B$9,MAX(0,IFERROR(N(IF(ISNUMBER(Charges!P185),MAX(0,Charges!P185),IFERROR(VLOOKUP(Charges!P185,Paramètres!$A$15:$B$18,2,FALSE),0))),0)),0)</f>
        <v>0</v>
      </c>
      <c r="P185" t="n">
        <f>IF(12&lt;=Paramètres!$B$9,MAX(0,IFERROR(N(IF(ISNUMBER(Charges!Q185),MAX(0,Charges!Q185),IFERROR(VLOOKUP(Charges!Q185,Paramètres!$A$15:$B$18,2,FALSE),0))),0)),0)</f>
        <v>0</v>
      </c>
      <c r="Q185" t="n">
        <f>IF(13&lt;=Paramètres!$B$9,MAX(0,IFERROR(N(IF(ISNUMBER(Charges!R185),MAX(0,Charges!R185),IFERROR(VLOOKUP(Charges!R185,Paramètres!$A$15:$B$18,2,FALSE),0))),0)),0)</f>
        <v>0</v>
      </c>
      <c r="R185" t="n">
        <f>SUM(E185:Q185)</f>
        <v>0</v>
      </c>
      <c r="S185" t="n">
        <f>IF(IFERROR(VLOOKUP(A185,'Projets'!$A$8:$Z$67,7,FALSE),"")="Engager",1,0)</f>
        <v>0</v>
      </c>
      <c r="T185" t="n">
        <f>IF(OR(Charges!F185="",AND(ISNUMBER(Charges!F185),Charges!F185&gt;=0),Charges!F185="S",Charges!F185="M",Charges!F185="L",Charges!F185="XL"),0,1)+IF(OR(Charges!G185="",AND(ISNUMBER(Charges!G185),Charges!G185&gt;=0),Charges!G185="S",Charges!G185="M",Charges!G185="L",Charges!G185="XL"),0,1)+IF(OR(Charges!H185="",AND(ISNUMBER(Charges!H185),Charges!H185&gt;=0),Charges!H185="S",Charges!H185="M",Charges!H185="L",Charges!H185="XL"),0,1)+IF(OR(Charges!I185="",AND(ISNUMBER(Charges!I185),Charges!I185&gt;=0),Charges!I185="S",Charges!I185="M",Charges!I185="L",Charges!I185="XL"),0,1)+IF(OR(Charges!J185="",AND(ISNUMBER(Charges!J185),Charges!J185&gt;=0),Charges!J185="S",Charges!J185="M",Charges!J185="L",Charges!J185="XL"),0,1)+IF(OR(Charges!K185="",AND(ISNUMBER(Charges!K185),Charges!K185&gt;=0),Charges!K185="S",Charges!K185="M",Charges!K185="L",Charges!K185="XL"),0,1)+IF(OR(Charges!L185="",AND(ISNUMBER(Charges!L185),Charges!L185&gt;=0),Charges!L185="S",Charges!L185="M",Charges!L185="L",Charges!L185="XL"),0,1)+IF(OR(Charges!M185="",AND(ISNUMBER(Charges!M185),Charges!M185&gt;=0),Charges!M185="S",Charges!M185="M",Charges!M185="L",Charges!M185="XL"),0,1)+IF(OR(Charges!N185="",AND(ISNUMBER(Charges!N185),Charges!N185&gt;=0),Charges!N185="S",Charges!N185="M",Charges!N185="L",Charges!N185="XL"),0,1)+IF(OR(Charges!O185="",AND(ISNUMBER(Charges!O185),Charges!O185&gt;=0),Charges!O185="S",Charges!O185="M",Charges!O185="L",Charges!O185="XL"),0,1)+IF(OR(Charges!P185="",AND(ISNUMBER(Charges!P185),Charges!P185&gt;=0),Charges!P185="S",Charges!P185="M",Charges!P185="L",Charges!P185="XL"),0,1)+IF(OR(Charges!Q185="",AND(ISNUMBER(Charges!Q185),Charges!Q185&gt;=0),Charges!Q185="S",Charges!Q185="M",Charges!Q185="L",Charges!Q185="XL"),0,1)+IF(OR(Charges!R185="",AND(ISNUMBER(Charges!R185),Charges!R185&gt;=0),Charges!R185="S",Charges!R185="M",Charges!R185="L",Charges!R185="XL"),0,1)</f>
        <v>0</v>
      </c>
      <c r="U185" t="n">
        <f>IF(AND(1&gt;Paramètres!$B$9,Charges!F185&lt;&gt;"",Charges!F185&lt;&gt;0),1,0)+IF(AND(2&gt;Paramètres!$B$9,Charges!G185&lt;&gt;"",Charges!G185&lt;&gt;0),1,0)+IF(AND(3&gt;Paramètres!$B$9,Charges!H185&lt;&gt;"",Charges!H185&lt;&gt;0),1,0)+IF(AND(4&gt;Paramètres!$B$9,Charges!I185&lt;&gt;"",Charges!I185&lt;&gt;0),1,0)+IF(AND(5&gt;Paramètres!$B$9,Charges!J185&lt;&gt;"",Charges!J185&lt;&gt;0),1,0)+IF(AND(6&gt;Paramètres!$B$9,Charges!K185&lt;&gt;"",Charges!K185&lt;&gt;0),1,0)+IF(AND(7&gt;Paramètres!$B$9,Charges!L185&lt;&gt;"",Charges!L185&lt;&gt;0),1,0)+IF(AND(8&gt;Paramètres!$B$9,Charges!M185&lt;&gt;"",Charges!M185&lt;&gt;0),1,0)+IF(AND(9&gt;Paramètres!$B$9,Charges!N185&lt;&gt;"",Charges!N185&lt;&gt;0),1,0)+IF(AND(10&gt;Paramètres!$B$9,Charges!O185&lt;&gt;"",Charges!O185&lt;&gt;0),1,0)+IF(AND(11&gt;Paramètres!$B$9,Charges!P185&lt;&gt;"",Charges!P185&lt;&gt;0),1,0)+IF(AND(12&gt;Paramètres!$B$9,Charges!Q185&lt;&gt;"",Charges!Q185&lt;&gt;0),1,0)+IF(AND(13&gt;Paramètres!$B$9,Charges!R185&lt;&gt;"",Charges!R185&lt;&gt;0),1,0)</f>
        <v>0</v>
      </c>
      <c r="V185" t="n">
        <f>IF(IFERROR(VLOOKUP(A185,'Projets'!$A$8:$Z$67,5,FALSE),"")="Engager",1,0)</f>
        <v>0</v>
      </c>
      <c r="W185" t="n">
        <f>IF(IFERROR(VLOOKUP(A185,'Projets'!$A$8:$Z$67,6,FALSE),"")="Engager",1,0)</f>
        <v>0</v>
      </c>
      <c r="X185" t="n">
        <f>E185*S185</f>
        <v>0</v>
      </c>
      <c r="Y185" t="n">
        <f>F185*S185</f>
        <v>0</v>
      </c>
      <c r="Z185" t="n">
        <f>G185*S185</f>
        <v>0</v>
      </c>
      <c r="AA185" t="n">
        <f>H185*S185</f>
        <v>0</v>
      </c>
      <c r="AB185" t="n">
        <f>I185*S185</f>
        <v>0</v>
      </c>
      <c r="AC185" t="n">
        <f>J185*S185</f>
        <v>0</v>
      </c>
      <c r="AD185" t="n">
        <f>K185*S185</f>
        <v>0</v>
      </c>
      <c r="AE185" t="n">
        <f>L185*S185</f>
        <v>0</v>
      </c>
      <c r="AF185" t="n">
        <f>M185*S185</f>
        <v>0</v>
      </c>
      <c r="AG185" t="n">
        <f>N185*S185</f>
        <v>0</v>
      </c>
      <c r="AH185" t="n">
        <f>O185*S185</f>
        <v>0</v>
      </c>
      <c r="AI185" t="n">
        <f>P185*S185</f>
        <v>0</v>
      </c>
      <c r="AJ185" t="n">
        <f>Q185*S185</f>
        <v>0</v>
      </c>
      <c r="AK185" t="n">
        <f>E185*V185</f>
        <v>0</v>
      </c>
      <c r="AL185" t="n">
        <f>F185*V185</f>
        <v>0</v>
      </c>
      <c r="AM185" t="n">
        <f>G185*V185</f>
        <v>0</v>
      </c>
      <c r="AN185" t="n">
        <f>H185*V185</f>
        <v>0</v>
      </c>
      <c r="AO185" t="n">
        <f>I185*V185</f>
        <v>0</v>
      </c>
      <c r="AP185" t="n">
        <f>J185*V185</f>
        <v>0</v>
      </c>
      <c r="AQ185" t="n">
        <f>K185*V185</f>
        <v>0</v>
      </c>
      <c r="AR185" t="n">
        <f>L185*V185</f>
        <v>0</v>
      </c>
      <c r="AS185" t="n">
        <f>M185*V185</f>
        <v>0</v>
      </c>
      <c r="AT185" t="n">
        <f>N185*V185</f>
        <v>0</v>
      </c>
      <c r="AU185" t="n">
        <f>O185*V185</f>
        <v>0</v>
      </c>
      <c r="AV185" t="n">
        <f>P185*V185</f>
        <v>0</v>
      </c>
      <c r="AW185" t="n">
        <f>Q185*V185</f>
        <v>0</v>
      </c>
      <c r="AX185" t="n">
        <f>E185*W185</f>
        <v>0</v>
      </c>
      <c r="AY185" t="n">
        <f>F185*W185</f>
        <v>0</v>
      </c>
      <c r="AZ185" t="n">
        <f>G185*W185</f>
        <v>0</v>
      </c>
      <c r="BA185" t="n">
        <f>H185*W185</f>
        <v>0</v>
      </c>
      <c r="BB185" t="n">
        <f>I185*W185</f>
        <v>0</v>
      </c>
      <c r="BC185" t="n">
        <f>J185*W185</f>
        <v>0</v>
      </c>
      <c r="BD185" t="n">
        <f>K185*W185</f>
        <v>0</v>
      </c>
      <c r="BE185" t="n">
        <f>L185*W185</f>
        <v>0</v>
      </c>
      <c r="BF185" t="n">
        <f>M185*W185</f>
        <v>0</v>
      </c>
      <c r="BG185" t="n">
        <f>N185*W185</f>
        <v>0</v>
      </c>
      <c r="BH185" t="n">
        <f>O185*W185</f>
        <v>0</v>
      </c>
      <c r="BI185" t="n">
        <f>P185*W185</f>
        <v>0</v>
      </c>
      <c r="BJ185" t="n">
        <f>Q185*W185</f>
        <v>0</v>
      </c>
    </row>
    <row r="186">
      <c r="A186" t="n">
        <f>Charges!A186</f>
        <v>0</v>
      </c>
      <c r="B186" t="n">
        <f>Charges!C186</f>
        <v>0</v>
      </c>
      <c r="C186" t="str">
        <f>Charges!D186</f>
        <v/>
      </c>
      <c r="E186" t="n">
        <f>IF(1&lt;=Paramètres!$B$9,MAX(0,IFERROR(N(IF(ISNUMBER(Charges!F186),MAX(0,Charges!F186),IFERROR(VLOOKUP(Charges!F186,Paramètres!$A$15:$B$18,2,FALSE),0))),0)),0)</f>
        <v>0</v>
      </c>
      <c r="F186" t="n">
        <f>IF(2&lt;=Paramètres!$B$9,MAX(0,IFERROR(N(IF(ISNUMBER(Charges!G186),MAX(0,Charges!G186),IFERROR(VLOOKUP(Charges!G186,Paramètres!$A$15:$B$18,2,FALSE),0))),0)),0)</f>
        <v>0</v>
      </c>
      <c r="G186" t="n">
        <f>IF(3&lt;=Paramètres!$B$9,MAX(0,IFERROR(N(IF(ISNUMBER(Charges!H186),MAX(0,Charges!H186),IFERROR(VLOOKUP(Charges!H186,Paramètres!$A$15:$B$18,2,FALSE),0))),0)),0)</f>
        <v>0</v>
      </c>
      <c r="H186" t="n">
        <f>IF(4&lt;=Paramètres!$B$9,MAX(0,IFERROR(N(IF(ISNUMBER(Charges!I186),MAX(0,Charges!I186),IFERROR(VLOOKUP(Charges!I186,Paramètres!$A$15:$B$18,2,FALSE),0))),0)),0)</f>
        <v>0</v>
      </c>
      <c r="I186" t="n">
        <f>IF(5&lt;=Paramètres!$B$9,MAX(0,IFERROR(N(IF(ISNUMBER(Charges!J186),MAX(0,Charges!J186),IFERROR(VLOOKUP(Charges!J186,Paramètres!$A$15:$B$18,2,FALSE),0))),0)),0)</f>
        <v>0</v>
      </c>
      <c r="J186" t="n">
        <f>IF(6&lt;=Paramètres!$B$9,MAX(0,IFERROR(N(IF(ISNUMBER(Charges!K186),MAX(0,Charges!K186),IFERROR(VLOOKUP(Charges!K186,Paramètres!$A$15:$B$18,2,FALSE),0))),0)),0)</f>
        <v>0</v>
      </c>
      <c r="K186" t="n">
        <f>IF(7&lt;=Paramètres!$B$9,MAX(0,IFERROR(N(IF(ISNUMBER(Charges!L186),MAX(0,Charges!L186),IFERROR(VLOOKUP(Charges!L186,Paramètres!$A$15:$B$18,2,FALSE),0))),0)),0)</f>
        <v>0</v>
      </c>
      <c r="L186" t="n">
        <f>IF(8&lt;=Paramètres!$B$9,MAX(0,IFERROR(N(IF(ISNUMBER(Charges!M186),MAX(0,Charges!M186),IFERROR(VLOOKUP(Charges!M186,Paramètres!$A$15:$B$18,2,FALSE),0))),0)),0)</f>
        <v>0</v>
      </c>
      <c r="M186" t="n">
        <f>IF(9&lt;=Paramètres!$B$9,MAX(0,IFERROR(N(IF(ISNUMBER(Charges!N186),MAX(0,Charges!N186),IFERROR(VLOOKUP(Charges!N186,Paramètres!$A$15:$B$18,2,FALSE),0))),0)),0)</f>
        <v>0</v>
      </c>
      <c r="N186" t="n">
        <f>IF(10&lt;=Paramètres!$B$9,MAX(0,IFERROR(N(IF(ISNUMBER(Charges!O186),MAX(0,Charges!O186),IFERROR(VLOOKUP(Charges!O186,Paramètres!$A$15:$B$18,2,FALSE),0))),0)),0)</f>
        <v>0</v>
      </c>
      <c r="O186" t="n">
        <f>IF(11&lt;=Paramètres!$B$9,MAX(0,IFERROR(N(IF(ISNUMBER(Charges!P186),MAX(0,Charges!P186),IFERROR(VLOOKUP(Charges!P186,Paramètres!$A$15:$B$18,2,FALSE),0))),0)),0)</f>
        <v>0</v>
      </c>
      <c r="P186" t="n">
        <f>IF(12&lt;=Paramètres!$B$9,MAX(0,IFERROR(N(IF(ISNUMBER(Charges!Q186),MAX(0,Charges!Q186),IFERROR(VLOOKUP(Charges!Q186,Paramètres!$A$15:$B$18,2,FALSE),0))),0)),0)</f>
        <v>0</v>
      </c>
      <c r="Q186" t="n">
        <f>IF(13&lt;=Paramètres!$B$9,MAX(0,IFERROR(N(IF(ISNUMBER(Charges!R186),MAX(0,Charges!R186),IFERROR(VLOOKUP(Charges!R186,Paramètres!$A$15:$B$18,2,FALSE),0))),0)),0)</f>
        <v>0</v>
      </c>
      <c r="R186" t="n">
        <f>SUM(E186:Q186)</f>
        <v>0</v>
      </c>
      <c r="S186" t="n">
        <f>IF(IFERROR(VLOOKUP(A186,'Projets'!$A$8:$Z$67,7,FALSE),"")="Engager",1,0)</f>
        <v>0</v>
      </c>
      <c r="T186" t="n">
        <f>IF(OR(Charges!F186="",AND(ISNUMBER(Charges!F186),Charges!F186&gt;=0),Charges!F186="S",Charges!F186="M",Charges!F186="L",Charges!F186="XL"),0,1)+IF(OR(Charges!G186="",AND(ISNUMBER(Charges!G186),Charges!G186&gt;=0),Charges!G186="S",Charges!G186="M",Charges!G186="L",Charges!G186="XL"),0,1)+IF(OR(Charges!H186="",AND(ISNUMBER(Charges!H186),Charges!H186&gt;=0),Charges!H186="S",Charges!H186="M",Charges!H186="L",Charges!H186="XL"),0,1)+IF(OR(Charges!I186="",AND(ISNUMBER(Charges!I186),Charges!I186&gt;=0),Charges!I186="S",Charges!I186="M",Charges!I186="L",Charges!I186="XL"),0,1)+IF(OR(Charges!J186="",AND(ISNUMBER(Charges!J186),Charges!J186&gt;=0),Charges!J186="S",Charges!J186="M",Charges!J186="L",Charges!J186="XL"),0,1)+IF(OR(Charges!K186="",AND(ISNUMBER(Charges!K186),Charges!K186&gt;=0),Charges!K186="S",Charges!K186="M",Charges!K186="L",Charges!K186="XL"),0,1)+IF(OR(Charges!L186="",AND(ISNUMBER(Charges!L186),Charges!L186&gt;=0),Charges!L186="S",Charges!L186="M",Charges!L186="L",Charges!L186="XL"),0,1)+IF(OR(Charges!M186="",AND(ISNUMBER(Charges!M186),Charges!M186&gt;=0),Charges!M186="S",Charges!M186="M",Charges!M186="L",Charges!M186="XL"),0,1)+IF(OR(Charges!N186="",AND(ISNUMBER(Charges!N186),Charges!N186&gt;=0),Charges!N186="S",Charges!N186="M",Charges!N186="L",Charges!N186="XL"),0,1)+IF(OR(Charges!O186="",AND(ISNUMBER(Charges!O186),Charges!O186&gt;=0),Charges!O186="S",Charges!O186="M",Charges!O186="L",Charges!O186="XL"),0,1)+IF(OR(Charges!P186="",AND(ISNUMBER(Charges!P186),Charges!P186&gt;=0),Charges!P186="S",Charges!P186="M",Charges!P186="L",Charges!P186="XL"),0,1)+IF(OR(Charges!Q186="",AND(ISNUMBER(Charges!Q186),Charges!Q186&gt;=0),Charges!Q186="S",Charges!Q186="M",Charges!Q186="L",Charges!Q186="XL"),0,1)+IF(OR(Charges!R186="",AND(ISNUMBER(Charges!R186),Charges!R186&gt;=0),Charges!R186="S",Charges!R186="M",Charges!R186="L",Charges!R186="XL"),0,1)</f>
        <v>0</v>
      </c>
      <c r="U186" t="n">
        <f>IF(AND(1&gt;Paramètres!$B$9,Charges!F186&lt;&gt;"",Charges!F186&lt;&gt;0),1,0)+IF(AND(2&gt;Paramètres!$B$9,Charges!G186&lt;&gt;"",Charges!G186&lt;&gt;0),1,0)+IF(AND(3&gt;Paramètres!$B$9,Charges!H186&lt;&gt;"",Charges!H186&lt;&gt;0),1,0)+IF(AND(4&gt;Paramètres!$B$9,Charges!I186&lt;&gt;"",Charges!I186&lt;&gt;0),1,0)+IF(AND(5&gt;Paramètres!$B$9,Charges!J186&lt;&gt;"",Charges!J186&lt;&gt;0),1,0)+IF(AND(6&gt;Paramètres!$B$9,Charges!K186&lt;&gt;"",Charges!K186&lt;&gt;0),1,0)+IF(AND(7&gt;Paramètres!$B$9,Charges!L186&lt;&gt;"",Charges!L186&lt;&gt;0),1,0)+IF(AND(8&gt;Paramètres!$B$9,Charges!M186&lt;&gt;"",Charges!M186&lt;&gt;0),1,0)+IF(AND(9&gt;Paramètres!$B$9,Charges!N186&lt;&gt;"",Charges!N186&lt;&gt;0),1,0)+IF(AND(10&gt;Paramètres!$B$9,Charges!O186&lt;&gt;"",Charges!O186&lt;&gt;0),1,0)+IF(AND(11&gt;Paramètres!$B$9,Charges!P186&lt;&gt;"",Charges!P186&lt;&gt;0),1,0)+IF(AND(12&gt;Paramètres!$B$9,Charges!Q186&lt;&gt;"",Charges!Q186&lt;&gt;0),1,0)+IF(AND(13&gt;Paramètres!$B$9,Charges!R186&lt;&gt;"",Charges!R186&lt;&gt;0),1,0)</f>
        <v>0</v>
      </c>
      <c r="V186" t="n">
        <f>IF(IFERROR(VLOOKUP(A186,'Projets'!$A$8:$Z$67,5,FALSE),"")="Engager",1,0)</f>
        <v>0</v>
      </c>
      <c r="W186" t="n">
        <f>IF(IFERROR(VLOOKUP(A186,'Projets'!$A$8:$Z$67,6,FALSE),"")="Engager",1,0)</f>
        <v>0</v>
      </c>
      <c r="X186" t="n">
        <f>E186*S186</f>
        <v>0</v>
      </c>
      <c r="Y186" t="n">
        <f>F186*S186</f>
        <v>0</v>
      </c>
      <c r="Z186" t="n">
        <f>G186*S186</f>
        <v>0</v>
      </c>
      <c r="AA186" t="n">
        <f>H186*S186</f>
        <v>0</v>
      </c>
      <c r="AB186" t="n">
        <f>I186*S186</f>
        <v>0</v>
      </c>
      <c r="AC186" t="n">
        <f>J186*S186</f>
        <v>0</v>
      </c>
      <c r="AD186" t="n">
        <f>K186*S186</f>
        <v>0</v>
      </c>
      <c r="AE186" t="n">
        <f>L186*S186</f>
        <v>0</v>
      </c>
      <c r="AF186" t="n">
        <f>M186*S186</f>
        <v>0</v>
      </c>
      <c r="AG186" t="n">
        <f>N186*S186</f>
        <v>0</v>
      </c>
      <c r="AH186" t="n">
        <f>O186*S186</f>
        <v>0</v>
      </c>
      <c r="AI186" t="n">
        <f>P186*S186</f>
        <v>0</v>
      </c>
      <c r="AJ186" t="n">
        <f>Q186*S186</f>
        <v>0</v>
      </c>
      <c r="AK186" t="n">
        <f>E186*V186</f>
        <v>0</v>
      </c>
      <c r="AL186" t="n">
        <f>F186*V186</f>
        <v>0</v>
      </c>
      <c r="AM186" t="n">
        <f>G186*V186</f>
        <v>0</v>
      </c>
      <c r="AN186" t="n">
        <f>H186*V186</f>
        <v>0</v>
      </c>
      <c r="AO186" t="n">
        <f>I186*V186</f>
        <v>0</v>
      </c>
      <c r="AP186" t="n">
        <f>J186*V186</f>
        <v>0</v>
      </c>
      <c r="AQ186" t="n">
        <f>K186*V186</f>
        <v>0</v>
      </c>
      <c r="AR186" t="n">
        <f>L186*V186</f>
        <v>0</v>
      </c>
      <c r="AS186" t="n">
        <f>M186*V186</f>
        <v>0</v>
      </c>
      <c r="AT186" t="n">
        <f>N186*V186</f>
        <v>0</v>
      </c>
      <c r="AU186" t="n">
        <f>O186*V186</f>
        <v>0</v>
      </c>
      <c r="AV186" t="n">
        <f>P186*V186</f>
        <v>0</v>
      </c>
      <c r="AW186" t="n">
        <f>Q186*V186</f>
        <v>0</v>
      </c>
      <c r="AX186" t="n">
        <f>E186*W186</f>
        <v>0</v>
      </c>
      <c r="AY186" t="n">
        <f>F186*W186</f>
        <v>0</v>
      </c>
      <c r="AZ186" t="n">
        <f>G186*W186</f>
        <v>0</v>
      </c>
      <c r="BA186" t="n">
        <f>H186*W186</f>
        <v>0</v>
      </c>
      <c r="BB186" t="n">
        <f>I186*W186</f>
        <v>0</v>
      </c>
      <c r="BC186" t="n">
        <f>J186*W186</f>
        <v>0</v>
      </c>
      <c r="BD186" t="n">
        <f>K186*W186</f>
        <v>0</v>
      </c>
      <c r="BE186" t="n">
        <f>L186*W186</f>
        <v>0</v>
      </c>
      <c r="BF186" t="n">
        <f>M186*W186</f>
        <v>0</v>
      </c>
      <c r="BG186" t="n">
        <f>N186*W186</f>
        <v>0</v>
      </c>
      <c r="BH186" t="n">
        <f>O186*W186</f>
        <v>0</v>
      </c>
      <c r="BI186" t="n">
        <f>P186*W186</f>
        <v>0</v>
      </c>
      <c r="BJ186" t="n">
        <f>Q186*W186</f>
        <v>0</v>
      </c>
    </row>
    <row r="187">
      <c r="A187" t="n">
        <f>Charges!A187</f>
        <v>0</v>
      </c>
      <c r="B187" t="n">
        <f>Charges!C187</f>
        <v>0</v>
      </c>
      <c r="C187" t="str">
        <f>Charges!D187</f>
        <v/>
      </c>
      <c r="E187" t="n">
        <f>IF(1&lt;=Paramètres!$B$9,MAX(0,IFERROR(N(IF(ISNUMBER(Charges!F187),MAX(0,Charges!F187),IFERROR(VLOOKUP(Charges!F187,Paramètres!$A$15:$B$18,2,FALSE),0))),0)),0)</f>
        <v>0</v>
      </c>
      <c r="F187" t="n">
        <f>IF(2&lt;=Paramètres!$B$9,MAX(0,IFERROR(N(IF(ISNUMBER(Charges!G187),MAX(0,Charges!G187),IFERROR(VLOOKUP(Charges!G187,Paramètres!$A$15:$B$18,2,FALSE),0))),0)),0)</f>
        <v>0</v>
      </c>
      <c r="G187" t="n">
        <f>IF(3&lt;=Paramètres!$B$9,MAX(0,IFERROR(N(IF(ISNUMBER(Charges!H187),MAX(0,Charges!H187),IFERROR(VLOOKUP(Charges!H187,Paramètres!$A$15:$B$18,2,FALSE),0))),0)),0)</f>
        <v>0</v>
      </c>
      <c r="H187" t="n">
        <f>IF(4&lt;=Paramètres!$B$9,MAX(0,IFERROR(N(IF(ISNUMBER(Charges!I187),MAX(0,Charges!I187),IFERROR(VLOOKUP(Charges!I187,Paramètres!$A$15:$B$18,2,FALSE),0))),0)),0)</f>
        <v>0</v>
      </c>
      <c r="I187" t="n">
        <f>IF(5&lt;=Paramètres!$B$9,MAX(0,IFERROR(N(IF(ISNUMBER(Charges!J187),MAX(0,Charges!J187),IFERROR(VLOOKUP(Charges!J187,Paramètres!$A$15:$B$18,2,FALSE),0))),0)),0)</f>
        <v>0</v>
      </c>
      <c r="J187" t="n">
        <f>IF(6&lt;=Paramètres!$B$9,MAX(0,IFERROR(N(IF(ISNUMBER(Charges!K187),MAX(0,Charges!K187),IFERROR(VLOOKUP(Charges!K187,Paramètres!$A$15:$B$18,2,FALSE),0))),0)),0)</f>
        <v>0</v>
      </c>
      <c r="K187" t="n">
        <f>IF(7&lt;=Paramètres!$B$9,MAX(0,IFERROR(N(IF(ISNUMBER(Charges!L187),MAX(0,Charges!L187),IFERROR(VLOOKUP(Charges!L187,Paramètres!$A$15:$B$18,2,FALSE),0))),0)),0)</f>
        <v>0</v>
      </c>
      <c r="L187" t="n">
        <f>IF(8&lt;=Paramètres!$B$9,MAX(0,IFERROR(N(IF(ISNUMBER(Charges!M187),MAX(0,Charges!M187),IFERROR(VLOOKUP(Charges!M187,Paramètres!$A$15:$B$18,2,FALSE),0))),0)),0)</f>
        <v>0</v>
      </c>
      <c r="M187" t="n">
        <f>IF(9&lt;=Paramètres!$B$9,MAX(0,IFERROR(N(IF(ISNUMBER(Charges!N187),MAX(0,Charges!N187),IFERROR(VLOOKUP(Charges!N187,Paramètres!$A$15:$B$18,2,FALSE),0))),0)),0)</f>
        <v>0</v>
      </c>
      <c r="N187" t="n">
        <f>IF(10&lt;=Paramètres!$B$9,MAX(0,IFERROR(N(IF(ISNUMBER(Charges!O187),MAX(0,Charges!O187),IFERROR(VLOOKUP(Charges!O187,Paramètres!$A$15:$B$18,2,FALSE),0))),0)),0)</f>
        <v>0</v>
      </c>
      <c r="O187" t="n">
        <f>IF(11&lt;=Paramètres!$B$9,MAX(0,IFERROR(N(IF(ISNUMBER(Charges!P187),MAX(0,Charges!P187),IFERROR(VLOOKUP(Charges!P187,Paramètres!$A$15:$B$18,2,FALSE),0))),0)),0)</f>
        <v>0</v>
      </c>
      <c r="P187" t="n">
        <f>IF(12&lt;=Paramètres!$B$9,MAX(0,IFERROR(N(IF(ISNUMBER(Charges!Q187),MAX(0,Charges!Q187),IFERROR(VLOOKUP(Charges!Q187,Paramètres!$A$15:$B$18,2,FALSE),0))),0)),0)</f>
        <v>0</v>
      </c>
      <c r="Q187" t="n">
        <f>IF(13&lt;=Paramètres!$B$9,MAX(0,IFERROR(N(IF(ISNUMBER(Charges!R187),MAX(0,Charges!R187),IFERROR(VLOOKUP(Charges!R187,Paramètres!$A$15:$B$18,2,FALSE),0))),0)),0)</f>
        <v>0</v>
      </c>
      <c r="R187" t="n">
        <f>SUM(E187:Q187)</f>
        <v>0</v>
      </c>
      <c r="S187" t="n">
        <f>IF(IFERROR(VLOOKUP(A187,'Projets'!$A$8:$Z$67,7,FALSE),"")="Engager",1,0)</f>
        <v>0</v>
      </c>
      <c r="T187" t="n">
        <f>IF(OR(Charges!F187="",AND(ISNUMBER(Charges!F187),Charges!F187&gt;=0),Charges!F187="S",Charges!F187="M",Charges!F187="L",Charges!F187="XL"),0,1)+IF(OR(Charges!G187="",AND(ISNUMBER(Charges!G187),Charges!G187&gt;=0),Charges!G187="S",Charges!G187="M",Charges!G187="L",Charges!G187="XL"),0,1)+IF(OR(Charges!H187="",AND(ISNUMBER(Charges!H187),Charges!H187&gt;=0),Charges!H187="S",Charges!H187="M",Charges!H187="L",Charges!H187="XL"),0,1)+IF(OR(Charges!I187="",AND(ISNUMBER(Charges!I187),Charges!I187&gt;=0),Charges!I187="S",Charges!I187="M",Charges!I187="L",Charges!I187="XL"),0,1)+IF(OR(Charges!J187="",AND(ISNUMBER(Charges!J187),Charges!J187&gt;=0),Charges!J187="S",Charges!J187="M",Charges!J187="L",Charges!J187="XL"),0,1)+IF(OR(Charges!K187="",AND(ISNUMBER(Charges!K187),Charges!K187&gt;=0),Charges!K187="S",Charges!K187="M",Charges!K187="L",Charges!K187="XL"),0,1)+IF(OR(Charges!L187="",AND(ISNUMBER(Charges!L187),Charges!L187&gt;=0),Charges!L187="S",Charges!L187="M",Charges!L187="L",Charges!L187="XL"),0,1)+IF(OR(Charges!M187="",AND(ISNUMBER(Charges!M187),Charges!M187&gt;=0),Charges!M187="S",Charges!M187="M",Charges!M187="L",Charges!M187="XL"),0,1)+IF(OR(Charges!N187="",AND(ISNUMBER(Charges!N187),Charges!N187&gt;=0),Charges!N187="S",Charges!N187="M",Charges!N187="L",Charges!N187="XL"),0,1)+IF(OR(Charges!O187="",AND(ISNUMBER(Charges!O187),Charges!O187&gt;=0),Charges!O187="S",Charges!O187="M",Charges!O187="L",Charges!O187="XL"),0,1)+IF(OR(Charges!P187="",AND(ISNUMBER(Charges!P187),Charges!P187&gt;=0),Charges!P187="S",Charges!P187="M",Charges!P187="L",Charges!P187="XL"),0,1)+IF(OR(Charges!Q187="",AND(ISNUMBER(Charges!Q187),Charges!Q187&gt;=0),Charges!Q187="S",Charges!Q187="M",Charges!Q187="L",Charges!Q187="XL"),0,1)+IF(OR(Charges!R187="",AND(ISNUMBER(Charges!R187),Charges!R187&gt;=0),Charges!R187="S",Charges!R187="M",Charges!R187="L",Charges!R187="XL"),0,1)</f>
        <v>0</v>
      </c>
      <c r="U187" t="n">
        <f>IF(AND(1&gt;Paramètres!$B$9,Charges!F187&lt;&gt;"",Charges!F187&lt;&gt;0),1,0)+IF(AND(2&gt;Paramètres!$B$9,Charges!G187&lt;&gt;"",Charges!G187&lt;&gt;0),1,0)+IF(AND(3&gt;Paramètres!$B$9,Charges!H187&lt;&gt;"",Charges!H187&lt;&gt;0),1,0)+IF(AND(4&gt;Paramètres!$B$9,Charges!I187&lt;&gt;"",Charges!I187&lt;&gt;0),1,0)+IF(AND(5&gt;Paramètres!$B$9,Charges!J187&lt;&gt;"",Charges!J187&lt;&gt;0),1,0)+IF(AND(6&gt;Paramètres!$B$9,Charges!K187&lt;&gt;"",Charges!K187&lt;&gt;0),1,0)+IF(AND(7&gt;Paramètres!$B$9,Charges!L187&lt;&gt;"",Charges!L187&lt;&gt;0),1,0)+IF(AND(8&gt;Paramètres!$B$9,Charges!M187&lt;&gt;"",Charges!M187&lt;&gt;0),1,0)+IF(AND(9&gt;Paramètres!$B$9,Charges!N187&lt;&gt;"",Charges!N187&lt;&gt;0),1,0)+IF(AND(10&gt;Paramètres!$B$9,Charges!O187&lt;&gt;"",Charges!O187&lt;&gt;0),1,0)+IF(AND(11&gt;Paramètres!$B$9,Charges!P187&lt;&gt;"",Charges!P187&lt;&gt;0),1,0)+IF(AND(12&gt;Paramètres!$B$9,Charges!Q187&lt;&gt;"",Charges!Q187&lt;&gt;0),1,0)+IF(AND(13&gt;Paramètres!$B$9,Charges!R187&lt;&gt;"",Charges!R187&lt;&gt;0),1,0)</f>
        <v>0</v>
      </c>
      <c r="V187" t="n">
        <f>IF(IFERROR(VLOOKUP(A187,'Projets'!$A$8:$Z$67,5,FALSE),"")="Engager",1,0)</f>
        <v>0</v>
      </c>
      <c r="W187" t="n">
        <f>IF(IFERROR(VLOOKUP(A187,'Projets'!$A$8:$Z$67,6,FALSE),"")="Engager",1,0)</f>
        <v>0</v>
      </c>
      <c r="X187" t="n">
        <f>E187*S187</f>
        <v>0</v>
      </c>
      <c r="Y187" t="n">
        <f>F187*S187</f>
        <v>0</v>
      </c>
      <c r="Z187" t="n">
        <f>G187*S187</f>
        <v>0</v>
      </c>
      <c r="AA187" t="n">
        <f>H187*S187</f>
        <v>0</v>
      </c>
      <c r="AB187" t="n">
        <f>I187*S187</f>
        <v>0</v>
      </c>
      <c r="AC187" t="n">
        <f>J187*S187</f>
        <v>0</v>
      </c>
      <c r="AD187" t="n">
        <f>K187*S187</f>
        <v>0</v>
      </c>
      <c r="AE187" t="n">
        <f>L187*S187</f>
        <v>0</v>
      </c>
      <c r="AF187" t="n">
        <f>M187*S187</f>
        <v>0</v>
      </c>
      <c r="AG187" t="n">
        <f>N187*S187</f>
        <v>0</v>
      </c>
      <c r="AH187" t="n">
        <f>O187*S187</f>
        <v>0</v>
      </c>
      <c r="AI187" t="n">
        <f>P187*S187</f>
        <v>0</v>
      </c>
      <c r="AJ187" t="n">
        <f>Q187*S187</f>
        <v>0</v>
      </c>
      <c r="AK187" t="n">
        <f>E187*V187</f>
        <v>0</v>
      </c>
      <c r="AL187" t="n">
        <f>F187*V187</f>
        <v>0</v>
      </c>
      <c r="AM187" t="n">
        <f>G187*V187</f>
        <v>0</v>
      </c>
      <c r="AN187" t="n">
        <f>H187*V187</f>
        <v>0</v>
      </c>
      <c r="AO187" t="n">
        <f>I187*V187</f>
        <v>0</v>
      </c>
      <c r="AP187" t="n">
        <f>J187*V187</f>
        <v>0</v>
      </c>
      <c r="AQ187" t="n">
        <f>K187*V187</f>
        <v>0</v>
      </c>
      <c r="AR187" t="n">
        <f>L187*V187</f>
        <v>0</v>
      </c>
      <c r="AS187" t="n">
        <f>M187*V187</f>
        <v>0</v>
      </c>
      <c r="AT187" t="n">
        <f>N187*V187</f>
        <v>0</v>
      </c>
      <c r="AU187" t="n">
        <f>O187*V187</f>
        <v>0</v>
      </c>
      <c r="AV187" t="n">
        <f>P187*V187</f>
        <v>0</v>
      </c>
      <c r="AW187" t="n">
        <f>Q187*V187</f>
        <v>0</v>
      </c>
      <c r="AX187" t="n">
        <f>E187*W187</f>
        <v>0</v>
      </c>
      <c r="AY187" t="n">
        <f>F187*W187</f>
        <v>0</v>
      </c>
      <c r="AZ187" t="n">
        <f>G187*W187</f>
        <v>0</v>
      </c>
      <c r="BA187" t="n">
        <f>H187*W187</f>
        <v>0</v>
      </c>
      <c r="BB187" t="n">
        <f>I187*W187</f>
        <v>0</v>
      </c>
      <c r="BC187" t="n">
        <f>J187*W187</f>
        <v>0</v>
      </c>
      <c r="BD187" t="n">
        <f>K187*W187</f>
        <v>0</v>
      </c>
      <c r="BE187" t="n">
        <f>L187*W187</f>
        <v>0</v>
      </c>
      <c r="BF187" t="n">
        <f>M187*W187</f>
        <v>0</v>
      </c>
      <c r="BG187" t="n">
        <f>N187*W187</f>
        <v>0</v>
      </c>
      <c r="BH187" t="n">
        <f>O187*W187</f>
        <v>0</v>
      </c>
      <c r="BI187" t="n">
        <f>P187*W187</f>
        <v>0</v>
      </c>
      <c r="BJ187" t="n">
        <f>Q187*W187</f>
        <v>0</v>
      </c>
    </row>
    <row r="188">
      <c r="A188" t="n">
        <f>Charges!A188</f>
        <v>0</v>
      </c>
      <c r="B188" t="n">
        <f>Charges!C188</f>
        <v>0</v>
      </c>
      <c r="C188" t="str">
        <f>Charges!D188</f>
        <v/>
      </c>
      <c r="E188" t="n">
        <f>IF(1&lt;=Paramètres!$B$9,MAX(0,IFERROR(N(IF(ISNUMBER(Charges!F188),MAX(0,Charges!F188),IFERROR(VLOOKUP(Charges!F188,Paramètres!$A$15:$B$18,2,FALSE),0))),0)),0)</f>
        <v>0</v>
      </c>
      <c r="F188" t="n">
        <f>IF(2&lt;=Paramètres!$B$9,MAX(0,IFERROR(N(IF(ISNUMBER(Charges!G188),MAX(0,Charges!G188),IFERROR(VLOOKUP(Charges!G188,Paramètres!$A$15:$B$18,2,FALSE),0))),0)),0)</f>
        <v>0</v>
      </c>
      <c r="G188" t="n">
        <f>IF(3&lt;=Paramètres!$B$9,MAX(0,IFERROR(N(IF(ISNUMBER(Charges!H188),MAX(0,Charges!H188),IFERROR(VLOOKUP(Charges!H188,Paramètres!$A$15:$B$18,2,FALSE),0))),0)),0)</f>
        <v>0</v>
      </c>
      <c r="H188" t="n">
        <f>IF(4&lt;=Paramètres!$B$9,MAX(0,IFERROR(N(IF(ISNUMBER(Charges!I188),MAX(0,Charges!I188),IFERROR(VLOOKUP(Charges!I188,Paramètres!$A$15:$B$18,2,FALSE),0))),0)),0)</f>
        <v>0</v>
      </c>
      <c r="I188" t="n">
        <f>IF(5&lt;=Paramètres!$B$9,MAX(0,IFERROR(N(IF(ISNUMBER(Charges!J188),MAX(0,Charges!J188),IFERROR(VLOOKUP(Charges!J188,Paramètres!$A$15:$B$18,2,FALSE),0))),0)),0)</f>
        <v>0</v>
      </c>
      <c r="J188" t="n">
        <f>IF(6&lt;=Paramètres!$B$9,MAX(0,IFERROR(N(IF(ISNUMBER(Charges!K188),MAX(0,Charges!K188),IFERROR(VLOOKUP(Charges!K188,Paramètres!$A$15:$B$18,2,FALSE),0))),0)),0)</f>
        <v>0</v>
      </c>
      <c r="K188" t="n">
        <f>IF(7&lt;=Paramètres!$B$9,MAX(0,IFERROR(N(IF(ISNUMBER(Charges!L188),MAX(0,Charges!L188),IFERROR(VLOOKUP(Charges!L188,Paramètres!$A$15:$B$18,2,FALSE),0))),0)),0)</f>
        <v>0</v>
      </c>
      <c r="L188" t="n">
        <f>IF(8&lt;=Paramètres!$B$9,MAX(0,IFERROR(N(IF(ISNUMBER(Charges!M188),MAX(0,Charges!M188),IFERROR(VLOOKUP(Charges!M188,Paramètres!$A$15:$B$18,2,FALSE),0))),0)),0)</f>
        <v>0</v>
      </c>
      <c r="M188" t="n">
        <f>IF(9&lt;=Paramètres!$B$9,MAX(0,IFERROR(N(IF(ISNUMBER(Charges!N188),MAX(0,Charges!N188),IFERROR(VLOOKUP(Charges!N188,Paramètres!$A$15:$B$18,2,FALSE),0))),0)),0)</f>
        <v>0</v>
      </c>
      <c r="N188" t="n">
        <f>IF(10&lt;=Paramètres!$B$9,MAX(0,IFERROR(N(IF(ISNUMBER(Charges!O188),MAX(0,Charges!O188),IFERROR(VLOOKUP(Charges!O188,Paramètres!$A$15:$B$18,2,FALSE),0))),0)),0)</f>
        <v>0</v>
      </c>
      <c r="O188" t="n">
        <f>IF(11&lt;=Paramètres!$B$9,MAX(0,IFERROR(N(IF(ISNUMBER(Charges!P188),MAX(0,Charges!P188),IFERROR(VLOOKUP(Charges!P188,Paramètres!$A$15:$B$18,2,FALSE),0))),0)),0)</f>
        <v>0</v>
      </c>
      <c r="P188" t="n">
        <f>IF(12&lt;=Paramètres!$B$9,MAX(0,IFERROR(N(IF(ISNUMBER(Charges!Q188),MAX(0,Charges!Q188),IFERROR(VLOOKUP(Charges!Q188,Paramètres!$A$15:$B$18,2,FALSE),0))),0)),0)</f>
        <v>0</v>
      </c>
      <c r="Q188" t="n">
        <f>IF(13&lt;=Paramètres!$B$9,MAX(0,IFERROR(N(IF(ISNUMBER(Charges!R188),MAX(0,Charges!R188),IFERROR(VLOOKUP(Charges!R188,Paramètres!$A$15:$B$18,2,FALSE),0))),0)),0)</f>
        <v>0</v>
      </c>
      <c r="R188" t="n">
        <f>SUM(E188:Q188)</f>
        <v>0</v>
      </c>
      <c r="S188" t="n">
        <f>IF(IFERROR(VLOOKUP(A188,'Projets'!$A$8:$Z$67,7,FALSE),"")="Engager",1,0)</f>
        <v>0</v>
      </c>
      <c r="T188" t="n">
        <f>IF(OR(Charges!F188="",AND(ISNUMBER(Charges!F188),Charges!F188&gt;=0),Charges!F188="S",Charges!F188="M",Charges!F188="L",Charges!F188="XL"),0,1)+IF(OR(Charges!G188="",AND(ISNUMBER(Charges!G188),Charges!G188&gt;=0),Charges!G188="S",Charges!G188="M",Charges!G188="L",Charges!G188="XL"),0,1)+IF(OR(Charges!H188="",AND(ISNUMBER(Charges!H188),Charges!H188&gt;=0),Charges!H188="S",Charges!H188="M",Charges!H188="L",Charges!H188="XL"),0,1)+IF(OR(Charges!I188="",AND(ISNUMBER(Charges!I188),Charges!I188&gt;=0),Charges!I188="S",Charges!I188="M",Charges!I188="L",Charges!I188="XL"),0,1)+IF(OR(Charges!J188="",AND(ISNUMBER(Charges!J188),Charges!J188&gt;=0),Charges!J188="S",Charges!J188="M",Charges!J188="L",Charges!J188="XL"),0,1)+IF(OR(Charges!K188="",AND(ISNUMBER(Charges!K188),Charges!K188&gt;=0),Charges!K188="S",Charges!K188="M",Charges!K188="L",Charges!K188="XL"),0,1)+IF(OR(Charges!L188="",AND(ISNUMBER(Charges!L188),Charges!L188&gt;=0),Charges!L188="S",Charges!L188="M",Charges!L188="L",Charges!L188="XL"),0,1)+IF(OR(Charges!M188="",AND(ISNUMBER(Charges!M188),Charges!M188&gt;=0),Charges!M188="S",Charges!M188="M",Charges!M188="L",Charges!M188="XL"),0,1)+IF(OR(Charges!N188="",AND(ISNUMBER(Charges!N188),Charges!N188&gt;=0),Charges!N188="S",Charges!N188="M",Charges!N188="L",Charges!N188="XL"),0,1)+IF(OR(Charges!O188="",AND(ISNUMBER(Charges!O188),Charges!O188&gt;=0),Charges!O188="S",Charges!O188="M",Charges!O188="L",Charges!O188="XL"),0,1)+IF(OR(Charges!P188="",AND(ISNUMBER(Charges!P188),Charges!P188&gt;=0),Charges!P188="S",Charges!P188="M",Charges!P188="L",Charges!P188="XL"),0,1)+IF(OR(Charges!Q188="",AND(ISNUMBER(Charges!Q188),Charges!Q188&gt;=0),Charges!Q188="S",Charges!Q188="M",Charges!Q188="L",Charges!Q188="XL"),0,1)+IF(OR(Charges!R188="",AND(ISNUMBER(Charges!R188),Charges!R188&gt;=0),Charges!R188="S",Charges!R188="M",Charges!R188="L",Charges!R188="XL"),0,1)</f>
        <v>0</v>
      </c>
      <c r="U188" t="n">
        <f>IF(AND(1&gt;Paramètres!$B$9,Charges!F188&lt;&gt;"",Charges!F188&lt;&gt;0),1,0)+IF(AND(2&gt;Paramètres!$B$9,Charges!G188&lt;&gt;"",Charges!G188&lt;&gt;0),1,0)+IF(AND(3&gt;Paramètres!$B$9,Charges!H188&lt;&gt;"",Charges!H188&lt;&gt;0),1,0)+IF(AND(4&gt;Paramètres!$B$9,Charges!I188&lt;&gt;"",Charges!I188&lt;&gt;0),1,0)+IF(AND(5&gt;Paramètres!$B$9,Charges!J188&lt;&gt;"",Charges!J188&lt;&gt;0),1,0)+IF(AND(6&gt;Paramètres!$B$9,Charges!K188&lt;&gt;"",Charges!K188&lt;&gt;0),1,0)+IF(AND(7&gt;Paramètres!$B$9,Charges!L188&lt;&gt;"",Charges!L188&lt;&gt;0),1,0)+IF(AND(8&gt;Paramètres!$B$9,Charges!M188&lt;&gt;"",Charges!M188&lt;&gt;0),1,0)+IF(AND(9&gt;Paramètres!$B$9,Charges!N188&lt;&gt;"",Charges!N188&lt;&gt;0),1,0)+IF(AND(10&gt;Paramètres!$B$9,Charges!O188&lt;&gt;"",Charges!O188&lt;&gt;0),1,0)+IF(AND(11&gt;Paramètres!$B$9,Charges!P188&lt;&gt;"",Charges!P188&lt;&gt;0),1,0)+IF(AND(12&gt;Paramètres!$B$9,Charges!Q188&lt;&gt;"",Charges!Q188&lt;&gt;0),1,0)+IF(AND(13&gt;Paramètres!$B$9,Charges!R188&lt;&gt;"",Charges!R188&lt;&gt;0),1,0)</f>
        <v>0</v>
      </c>
      <c r="V188" t="n">
        <f>IF(IFERROR(VLOOKUP(A188,'Projets'!$A$8:$Z$67,5,FALSE),"")="Engager",1,0)</f>
        <v>0</v>
      </c>
      <c r="W188" t="n">
        <f>IF(IFERROR(VLOOKUP(A188,'Projets'!$A$8:$Z$67,6,FALSE),"")="Engager",1,0)</f>
        <v>0</v>
      </c>
      <c r="X188" t="n">
        <f>E188*S188</f>
        <v>0</v>
      </c>
      <c r="Y188" t="n">
        <f>F188*S188</f>
        <v>0</v>
      </c>
      <c r="Z188" t="n">
        <f>G188*S188</f>
        <v>0</v>
      </c>
      <c r="AA188" t="n">
        <f>H188*S188</f>
        <v>0</v>
      </c>
      <c r="AB188" t="n">
        <f>I188*S188</f>
        <v>0</v>
      </c>
      <c r="AC188" t="n">
        <f>J188*S188</f>
        <v>0</v>
      </c>
      <c r="AD188" t="n">
        <f>K188*S188</f>
        <v>0</v>
      </c>
      <c r="AE188" t="n">
        <f>L188*S188</f>
        <v>0</v>
      </c>
      <c r="AF188" t="n">
        <f>M188*S188</f>
        <v>0</v>
      </c>
      <c r="AG188" t="n">
        <f>N188*S188</f>
        <v>0</v>
      </c>
      <c r="AH188" t="n">
        <f>O188*S188</f>
        <v>0</v>
      </c>
      <c r="AI188" t="n">
        <f>P188*S188</f>
        <v>0</v>
      </c>
      <c r="AJ188" t="n">
        <f>Q188*S188</f>
        <v>0</v>
      </c>
      <c r="AK188" t="n">
        <f>E188*V188</f>
        <v>0</v>
      </c>
      <c r="AL188" t="n">
        <f>F188*V188</f>
        <v>0</v>
      </c>
      <c r="AM188" t="n">
        <f>G188*V188</f>
        <v>0</v>
      </c>
      <c r="AN188" t="n">
        <f>H188*V188</f>
        <v>0</v>
      </c>
      <c r="AO188" t="n">
        <f>I188*V188</f>
        <v>0</v>
      </c>
      <c r="AP188" t="n">
        <f>J188*V188</f>
        <v>0</v>
      </c>
      <c r="AQ188" t="n">
        <f>K188*V188</f>
        <v>0</v>
      </c>
      <c r="AR188" t="n">
        <f>L188*V188</f>
        <v>0</v>
      </c>
      <c r="AS188" t="n">
        <f>M188*V188</f>
        <v>0</v>
      </c>
      <c r="AT188" t="n">
        <f>N188*V188</f>
        <v>0</v>
      </c>
      <c r="AU188" t="n">
        <f>O188*V188</f>
        <v>0</v>
      </c>
      <c r="AV188" t="n">
        <f>P188*V188</f>
        <v>0</v>
      </c>
      <c r="AW188" t="n">
        <f>Q188*V188</f>
        <v>0</v>
      </c>
      <c r="AX188" t="n">
        <f>E188*W188</f>
        <v>0</v>
      </c>
      <c r="AY188" t="n">
        <f>F188*W188</f>
        <v>0</v>
      </c>
      <c r="AZ188" t="n">
        <f>G188*W188</f>
        <v>0</v>
      </c>
      <c r="BA188" t="n">
        <f>H188*W188</f>
        <v>0</v>
      </c>
      <c r="BB188" t="n">
        <f>I188*W188</f>
        <v>0</v>
      </c>
      <c r="BC188" t="n">
        <f>J188*W188</f>
        <v>0</v>
      </c>
      <c r="BD188" t="n">
        <f>K188*W188</f>
        <v>0</v>
      </c>
      <c r="BE188" t="n">
        <f>L188*W188</f>
        <v>0</v>
      </c>
      <c r="BF188" t="n">
        <f>M188*W188</f>
        <v>0</v>
      </c>
      <c r="BG188" t="n">
        <f>N188*W188</f>
        <v>0</v>
      </c>
      <c r="BH188" t="n">
        <f>O188*W188</f>
        <v>0</v>
      </c>
      <c r="BI188" t="n">
        <f>P188*W188</f>
        <v>0</v>
      </c>
      <c r="BJ188" t="n">
        <f>Q188*W188</f>
        <v>0</v>
      </c>
    </row>
    <row r="189">
      <c r="A189" t="n">
        <f>Charges!A189</f>
        <v>0</v>
      </c>
      <c r="B189" t="n">
        <f>Charges!C189</f>
        <v>0</v>
      </c>
      <c r="C189" t="str">
        <f>Charges!D189</f>
        <v/>
      </c>
      <c r="E189" t="n">
        <f>IF(1&lt;=Paramètres!$B$9,MAX(0,IFERROR(N(IF(ISNUMBER(Charges!F189),MAX(0,Charges!F189),IFERROR(VLOOKUP(Charges!F189,Paramètres!$A$15:$B$18,2,FALSE),0))),0)),0)</f>
        <v>0</v>
      </c>
      <c r="F189" t="n">
        <f>IF(2&lt;=Paramètres!$B$9,MAX(0,IFERROR(N(IF(ISNUMBER(Charges!G189),MAX(0,Charges!G189),IFERROR(VLOOKUP(Charges!G189,Paramètres!$A$15:$B$18,2,FALSE),0))),0)),0)</f>
        <v>0</v>
      </c>
      <c r="G189" t="n">
        <f>IF(3&lt;=Paramètres!$B$9,MAX(0,IFERROR(N(IF(ISNUMBER(Charges!H189),MAX(0,Charges!H189),IFERROR(VLOOKUP(Charges!H189,Paramètres!$A$15:$B$18,2,FALSE),0))),0)),0)</f>
        <v>0</v>
      </c>
      <c r="H189" t="n">
        <f>IF(4&lt;=Paramètres!$B$9,MAX(0,IFERROR(N(IF(ISNUMBER(Charges!I189),MAX(0,Charges!I189),IFERROR(VLOOKUP(Charges!I189,Paramètres!$A$15:$B$18,2,FALSE),0))),0)),0)</f>
        <v>0</v>
      </c>
      <c r="I189" t="n">
        <f>IF(5&lt;=Paramètres!$B$9,MAX(0,IFERROR(N(IF(ISNUMBER(Charges!J189),MAX(0,Charges!J189),IFERROR(VLOOKUP(Charges!J189,Paramètres!$A$15:$B$18,2,FALSE),0))),0)),0)</f>
        <v>0</v>
      </c>
      <c r="J189" t="n">
        <f>IF(6&lt;=Paramètres!$B$9,MAX(0,IFERROR(N(IF(ISNUMBER(Charges!K189),MAX(0,Charges!K189),IFERROR(VLOOKUP(Charges!K189,Paramètres!$A$15:$B$18,2,FALSE),0))),0)),0)</f>
        <v>0</v>
      </c>
      <c r="K189" t="n">
        <f>IF(7&lt;=Paramètres!$B$9,MAX(0,IFERROR(N(IF(ISNUMBER(Charges!L189),MAX(0,Charges!L189),IFERROR(VLOOKUP(Charges!L189,Paramètres!$A$15:$B$18,2,FALSE),0))),0)),0)</f>
        <v>0</v>
      </c>
      <c r="L189" t="n">
        <f>IF(8&lt;=Paramètres!$B$9,MAX(0,IFERROR(N(IF(ISNUMBER(Charges!M189),MAX(0,Charges!M189),IFERROR(VLOOKUP(Charges!M189,Paramètres!$A$15:$B$18,2,FALSE),0))),0)),0)</f>
        <v>0</v>
      </c>
      <c r="M189" t="n">
        <f>IF(9&lt;=Paramètres!$B$9,MAX(0,IFERROR(N(IF(ISNUMBER(Charges!N189),MAX(0,Charges!N189),IFERROR(VLOOKUP(Charges!N189,Paramètres!$A$15:$B$18,2,FALSE),0))),0)),0)</f>
        <v>0</v>
      </c>
      <c r="N189" t="n">
        <f>IF(10&lt;=Paramètres!$B$9,MAX(0,IFERROR(N(IF(ISNUMBER(Charges!O189),MAX(0,Charges!O189),IFERROR(VLOOKUP(Charges!O189,Paramètres!$A$15:$B$18,2,FALSE),0))),0)),0)</f>
        <v>0</v>
      </c>
      <c r="O189" t="n">
        <f>IF(11&lt;=Paramètres!$B$9,MAX(0,IFERROR(N(IF(ISNUMBER(Charges!P189),MAX(0,Charges!P189),IFERROR(VLOOKUP(Charges!P189,Paramètres!$A$15:$B$18,2,FALSE),0))),0)),0)</f>
        <v>0</v>
      </c>
      <c r="P189" t="n">
        <f>IF(12&lt;=Paramètres!$B$9,MAX(0,IFERROR(N(IF(ISNUMBER(Charges!Q189),MAX(0,Charges!Q189),IFERROR(VLOOKUP(Charges!Q189,Paramètres!$A$15:$B$18,2,FALSE),0))),0)),0)</f>
        <v>0</v>
      </c>
      <c r="Q189" t="n">
        <f>IF(13&lt;=Paramètres!$B$9,MAX(0,IFERROR(N(IF(ISNUMBER(Charges!R189),MAX(0,Charges!R189),IFERROR(VLOOKUP(Charges!R189,Paramètres!$A$15:$B$18,2,FALSE),0))),0)),0)</f>
        <v>0</v>
      </c>
      <c r="R189" t="n">
        <f>SUM(E189:Q189)</f>
        <v>0</v>
      </c>
      <c r="S189" t="n">
        <f>IF(IFERROR(VLOOKUP(A189,'Projets'!$A$8:$Z$67,7,FALSE),"")="Engager",1,0)</f>
        <v>0</v>
      </c>
      <c r="T189" t="n">
        <f>IF(OR(Charges!F189="",AND(ISNUMBER(Charges!F189),Charges!F189&gt;=0),Charges!F189="S",Charges!F189="M",Charges!F189="L",Charges!F189="XL"),0,1)+IF(OR(Charges!G189="",AND(ISNUMBER(Charges!G189),Charges!G189&gt;=0),Charges!G189="S",Charges!G189="M",Charges!G189="L",Charges!G189="XL"),0,1)+IF(OR(Charges!H189="",AND(ISNUMBER(Charges!H189),Charges!H189&gt;=0),Charges!H189="S",Charges!H189="M",Charges!H189="L",Charges!H189="XL"),0,1)+IF(OR(Charges!I189="",AND(ISNUMBER(Charges!I189),Charges!I189&gt;=0),Charges!I189="S",Charges!I189="M",Charges!I189="L",Charges!I189="XL"),0,1)+IF(OR(Charges!J189="",AND(ISNUMBER(Charges!J189),Charges!J189&gt;=0),Charges!J189="S",Charges!J189="M",Charges!J189="L",Charges!J189="XL"),0,1)+IF(OR(Charges!K189="",AND(ISNUMBER(Charges!K189),Charges!K189&gt;=0),Charges!K189="S",Charges!K189="M",Charges!K189="L",Charges!K189="XL"),0,1)+IF(OR(Charges!L189="",AND(ISNUMBER(Charges!L189),Charges!L189&gt;=0),Charges!L189="S",Charges!L189="M",Charges!L189="L",Charges!L189="XL"),0,1)+IF(OR(Charges!M189="",AND(ISNUMBER(Charges!M189),Charges!M189&gt;=0),Charges!M189="S",Charges!M189="M",Charges!M189="L",Charges!M189="XL"),0,1)+IF(OR(Charges!N189="",AND(ISNUMBER(Charges!N189),Charges!N189&gt;=0),Charges!N189="S",Charges!N189="M",Charges!N189="L",Charges!N189="XL"),0,1)+IF(OR(Charges!O189="",AND(ISNUMBER(Charges!O189),Charges!O189&gt;=0),Charges!O189="S",Charges!O189="M",Charges!O189="L",Charges!O189="XL"),0,1)+IF(OR(Charges!P189="",AND(ISNUMBER(Charges!P189),Charges!P189&gt;=0),Charges!P189="S",Charges!P189="M",Charges!P189="L",Charges!P189="XL"),0,1)+IF(OR(Charges!Q189="",AND(ISNUMBER(Charges!Q189),Charges!Q189&gt;=0),Charges!Q189="S",Charges!Q189="M",Charges!Q189="L",Charges!Q189="XL"),0,1)+IF(OR(Charges!R189="",AND(ISNUMBER(Charges!R189),Charges!R189&gt;=0),Charges!R189="S",Charges!R189="M",Charges!R189="L",Charges!R189="XL"),0,1)</f>
        <v>0</v>
      </c>
      <c r="U189" t="n">
        <f>IF(AND(1&gt;Paramètres!$B$9,Charges!F189&lt;&gt;"",Charges!F189&lt;&gt;0),1,0)+IF(AND(2&gt;Paramètres!$B$9,Charges!G189&lt;&gt;"",Charges!G189&lt;&gt;0),1,0)+IF(AND(3&gt;Paramètres!$B$9,Charges!H189&lt;&gt;"",Charges!H189&lt;&gt;0),1,0)+IF(AND(4&gt;Paramètres!$B$9,Charges!I189&lt;&gt;"",Charges!I189&lt;&gt;0),1,0)+IF(AND(5&gt;Paramètres!$B$9,Charges!J189&lt;&gt;"",Charges!J189&lt;&gt;0),1,0)+IF(AND(6&gt;Paramètres!$B$9,Charges!K189&lt;&gt;"",Charges!K189&lt;&gt;0),1,0)+IF(AND(7&gt;Paramètres!$B$9,Charges!L189&lt;&gt;"",Charges!L189&lt;&gt;0),1,0)+IF(AND(8&gt;Paramètres!$B$9,Charges!M189&lt;&gt;"",Charges!M189&lt;&gt;0),1,0)+IF(AND(9&gt;Paramètres!$B$9,Charges!N189&lt;&gt;"",Charges!N189&lt;&gt;0),1,0)+IF(AND(10&gt;Paramètres!$B$9,Charges!O189&lt;&gt;"",Charges!O189&lt;&gt;0),1,0)+IF(AND(11&gt;Paramètres!$B$9,Charges!P189&lt;&gt;"",Charges!P189&lt;&gt;0),1,0)+IF(AND(12&gt;Paramètres!$B$9,Charges!Q189&lt;&gt;"",Charges!Q189&lt;&gt;0),1,0)+IF(AND(13&gt;Paramètres!$B$9,Charges!R189&lt;&gt;"",Charges!R189&lt;&gt;0),1,0)</f>
        <v>0</v>
      </c>
      <c r="V189" t="n">
        <f>IF(IFERROR(VLOOKUP(A189,'Projets'!$A$8:$Z$67,5,FALSE),"")="Engager",1,0)</f>
        <v>0</v>
      </c>
      <c r="W189" t="n">
        <f>IF(IFERROR(VLOOKUP(A189,'Projets'!$A$8:$Z$67,6,FALSE),"")="Engager",1,0)</f>
        <v>0</v>
      </c>
      <c r="X189" t="n">
        <f>E189*S189</f>
        <v>0</v>
      </c>
      <c r="Y189" t="n">
        <f>F189*S189</f>
        <v>0</v>
      </c>
      <c r="Z189" t="n">
        <f>G189*S189</f>
        <v>0</v>
      </c>
      <c r="AA189" t="n">
        <f>H189*S189</f>
        <v>0</v>
      </c>
      <c r="AB189" t="n">
        <f>I189*S189</f>
        <v>0</v>
      </c>
      <c r="AC189" t="n">
        <f>J189*S189</f>
        <v>0</v>
      </c>
      <c r="AD189" t="n">
        <f>K189*S189</f>
        <v>0</v>
      </c>
      <c r="AE189" t="n">
        <f>L189*S189</f>
        <v>0</v>
      </c>
      <c r="AF189" t="n">
        <f>M189*S189</f>
        <v>0</v>
      </c>
      <c r="AG189" t="n">
        <f>N189*S189</f>
        <v>0</v>
      </c>
      <c r="AH189" t="n">
        <f>O189*S189</f>
        <v>0</v>
      </c>
      <c r="AI189" t="n">
        <f>P189*S189</f>
        <v>0</v>
      </c>
      <c r="AJ189" t="n">
        <f>Q189*S189</f>
        <v>0</v>
      </c>
      <c r="AK189" t="n">
        <f>E189*V189</f>
        <v>0</v>
      </c>
      <c r="AL189" t="n">
        <f>F189*V189</f>
        <v>0</v>
      </c>
      <c r="AM189" t="n">
        <f>G189*V189</f>
        <v>0</v>
      </c>
      <c r="AN189" t="n">
        <f>H189*V189</f>
        <v>0</v>
      </c>
      <c r="AO189" t="n">
        <f>I189*V189</f>
        <v>0</v>
      </c>
      <c r="AP189" t="n">
        <f>J189*V189</f>
        <v>0</v>
      </c>
      <c r="AQ189" t="n">
        <f>K189*V189</f>
        <v>0</v>
      </c>
      <c r="AR189" t="n">
        <f>L189*V189</f>
        <v>0</v>
      </c>
      <c r="AS189" t="n">
        <f>M189*V189</f>
        <v>0</v>
      </c>
      <c r="AT189" t="n">
        <f>N189*V189</f>
        <v>0</v>
      </c>
      <c r="AU189" t="n">
        <f>O189*V189</f>
        <v>0</v>
      </c>
      <c r="AV189" t="n">
        <f>P189*V189</f>
        <v>0</v>
      </c>
      <c r="AW189" t="n">
        <f>Q189*V189</f>
        <v>0</v>
      </c>
      <c r="AX189" t="n">
        <f>E189*W189</f>
        <v>0</v>
      </c>
      <c r="AY189" t="n">
        <f>F189*W189</f>
        <v>0</v>
      </c>
      <c r="AZ189" t="n">
        <f>G189*W189</f>
        <v>0</v>
      </c>
      <c r="BA189" t="n">
        <f>H189*W189</f>
        <v>0</v>
      </c>
      <c r="BB189" t="n">
        <f>I189*W189</f>
        <v>0</v>
      </c>
      <c r="BC189" t="n">
        <f>J189*W189</f>
        <v>0</v>
      </c>
      <c r="BD189" t="n">
        <f>K189*W189</f>
        <v>0</v>
      </c>
      <c r="BE189" t="n">
        <f>L189*W189</f>
        <v>0</v>
      </c>
      <c r="BF189" t="n">
        <f>M189*W189</f>
        <v>0</v>
      </c>
      <c r="BG189" t="n">
        <f>N189*W189</f>
        <v>0</v>
      </c>
      <c r="BH189" t="n">
        <f>O189*W189</f>
        <v>0</v>
      </c>
      <c r="BI189" t="n">
        <f>P189*W189</f>
        <v>0</v>
      </c>
      <c r="BJ189" t="n">
        <f>Q189*W189</f>
        <v>0</v>
      </c>
    </row>
    <row r="190">
      <c r="A190" t="n">
        <f>Charges!A190</f>
        <v>0</v>
      </c>
      <c r="B190" t="n">
        <f>Charges!C190</f>
        <v>0</v>
      </c>
      <c r="C190" t="str">
        <f>Charges!D190</f>
        <v/>
      </c>
      <c r="E190" t="n">
        <f>IF(1&lt;=Paramètres!$B$9,MAX(0,IFERROR(N(IF(ISNUMBER(Charges!F190),MAX(0,Charges!F190),IFERROR(VLOOKUP(Charges!F190,Paramètres!$A$15:$B$18,2,FALSE),0))),0)),0)</f>
        <v>0</v>
      </c>
      <c r="F190" t="n">
        <f>IF(2&lt;=Paramètres!$B$9,MAX(0,IFERROR(N(IF(ISNUMBER(Charges!G190),MAX(0,Charges!G190),IFERROR(VLOOKUP(Charges!G190,Paramètres!$A$15:$B$18,2,FALSE),0))),0)),0)</f>
        <v>0</v>
      </c>
      <c r="G190" t="n">
        <f>IF(3&lt;=Paramètres!$B$9,MAX(0,IFERROR(N(IF(ISNUMBER(Charges!H190),MAX(0,Charges!H190),IFERROR(VLOOKUP(Charges!H190,Paramètres!$A$15:$B$18,2,FALSE),0))),0)),0)</f>
        <v>0</v>
      </c>
      <c r="H190" t="n">
        <f>IF(4&lt;=Paramètres!$B$9,MAX(0,IFERROR(N(IF(ISNUMBER(Charges!I190),MAX(0,Charges!I190),IFERROR(VLOOKUP(Charges!I190,Paramètres!$A$15:$B$18,2,FALSE),0))),0)),0)</f>
        <v>0</v>
      </c>
      <c r="I190" t="n">
        <f>IF(5&lt;=Paramètres!$B$9,MAX(0,IFERROR(N(IF(ISNUMBER(Charges!J190),MAX(0,Charges!J190),IFERROR(VLOOKUP(Charges!J190,Paramètres!$A$15:$B$18,2,FALSE),0))),0)),0)</f>
        <v>0</v>
      </c>
      <c r="J190" t="n">
        <f>IF(6&lt;=Paramètres!$B$9,MAX(0,IFERROR(N(IF(ISNUMBER(Charges!K190),MAX(0,Charges!K190),IFERROR(VLOOKUP(Charges!K190,Paramètres!$A$15:$B$18,2,FALSE),0))),0)),0)</f>
        <v>0</v>
      </c>
      <c r="K190" t="n">
        <f>IF(7&lt;=Paramètres!$B$9,MAX(0,IFERROR(N(IF(ISNUMBER(Charges!L190),MAX(0,Charges!L190),IFERROR(VLOOKUP(Charges!L190,Paramètres!$A$15:$B$18,2,FALSE),0))),0)),0)</f>
        <v>0</v>
      </c>
      <c r="L190" t="n">
        <f>IF(8&lt;=Paramètres!$B$9,MAX(0,IFERROR(N(IF(ISNUMBER(Charges!M190),MAX(0,Charges!M190),IFERROR(VLOOKUP(Charges!M190,Paramètres!$A$15:$B$18,2,FALSE),0))),0)),0)</f>
        <v>0</v>
      </c>
      <c r="M190" t="n">
        <f>IF(9&lt;=Paramètres!$B$9,MAX(0,IFERROR(N(IF(ISNUMBER(Charges!N190),MAX(0,Charges!N190),IFERROR(VLOOKUP(Charges!N190,Paramètres!$A$15:$B$18,2,FALSE),0))),0)),0)</f>
        <v>0</v>
      </c>
      <c r="N190" t="n">
        <f>IF(10&lt;=Paramètres!$B$9,MAX(0,IFERROR(N(IF(ISNUMBER(Charges!O190),MAX(0,Charges!O190),IFERROR(VLOOKUP(Charges!O190,Paramètres!$A$15:$B$18,2,FALSE),0))),0)),0)</f>
        <v>0</v>
      </c>
      <c r="O190" t="n">
        <f>IF(11&lt;=Paramètres!$B$9,MAX(0,IFERROR(N(IF(ISNUMBER(Charges!P190),MAX(0,Charges!P190),IFERROR(VLOOKUP(Charges!P190,Paramètres!$A$15:$B$18,2,FALSE),0))),0)),0)</f>
        <v>0</v>
      </c>
      <c r="P190" t="n">
        <f>IF(12&lt;=Paramètres!$B$9,MAX(0,IFERROR(N(IF(ISNUMBER(Charges!Q190),MAX(0,Charges!Q190),IFERROR(VLOOKUP(Charges!Q190,Paramètres!$A$15:$B$18,2,FALSE),0))),0)),0)</f>
        <v>0</v>
      </c>
      <c r="Q190" t="n">
        <f>IF(13&lt;=Paramètres!$B$9,MAX(0,IFERROR(N(IF(ISNUMBER(Charges!R190),MAX(0,Charges!R190),IFERROR(VLOOKUP(Charges!R190,Paramètres!$A$15:$B$18,2,FALSE),0))),0)),0)</f>
        <v>0</v>
      </c>
      <c r="R190" t="n">
        <f>SUM(E190:Q190)</f>
        <v>0</v>
      </c>
      <c r="S190" t="n">
        <f>IF(IFERROR(VLOOKUP(A190,'Projets'!$A$8:$Z$67,7,FALSE),"")="Engager",1,0)</f>
        <v>0</v>
      </c>
      <c r="T190" t="n">
        <f>IF(OR(Charges!F190="",AND(ISNUMBER(Charges!F190),Charges!F190&gt;=0),Charges!F190="S",Charges!F190="M",Charges!F190="L",Charges!F190="XL"),0,1)+IF(OR(Charges!G190="",AND(ISNUMBER(Charges!G190),Charges!G190&gt;=0),Charges!G190="S",Charges!G190="M",Charges!G190="L",Charges!G190="XL"),0,1)+IF(OR(Charges!H190="",AND(ISNUMBER(Charges!H190),Charges!H190&gt;=0),Charges!H190="S",Charges!H190="M",Charges!H190="L",Charges!H190="XL"),0,1)+IF(OR(Charges!I190="",AND(ISNUMBER(Charges!I190),Charges!I190&gt;=0),Charges!I190="S",Charges!I190="M",Charges!I190="L",Charges!I190="XL"),0,1)+IF(OR(Charges!J190="",AND(ISNUMBER(Charges!J190),Charges!J190&gt;=0),Charges!J190="S",Charges!J190="M",Charges!J190="L",Charges!J190="XL"),0,1)+IF(OR(Charges!K190="",AND(ISNUMBER(Charges!K190),Charges!K190&gt;=0),Charges!K190="S",Charges!K190="M",Charges!K190="L",Charges!K190="XL"),0,1)+IF(OR(Charges!L190="",AND(ISNUMBER(Charges!L190),Charges!L190&gt;=0),Charges!L190="S",Charges!L190="M",Charges!L190="L",Charges!L190="XL"),0,1)+IF(OR(Charges!M190="",AND(ISNUMBER(Charges!M190),Charges!M190&gt;=0),Charges!M190="S",Charges!M190="M",Charges!M190="L",Charges!M190="XL"),0,1)+IF(OR(Charges!N190="",AND(ISNUMBER(Charges!N190),Charges!N190&gt;=0),Charges!N190="S",Charges!N190="M",Charges!N190="L",Charges!N190="XL"),0,1)+IF(OR(Charges!O190="",AND(ISNUMBER(Charges!O190),Charges!O190&gt;=0),Charges!O190="S",Charges!O190="M",Charges!O190="L",Charges!O190="XL"),0,1)+IF(OR(Charges!P190="",AND(ISNUMBER(Charges!P190),Charges!P190&gt;=0),Charges!P190="S",Charges!P190="M",Charges!P190="L",Charges!P190="XL"),0,1)+IF(OR(Charges!Q190="",AND(ISNUMBER(Charges!Q190),Charges!Q190&gt;=0),Charges!Q190="S",Charges!Q190="M",Charges!Q190="L",Charges!Q190="XL"),0,1)+IF(OR(Charges!R190="",AND(ISNUMBER(Charges!R190),Charges!R190&gt;=0),Charges!R190="S",Charges!R190="M",Charges!R190="L",Charges!R190="XL"),0,1)</f>
        <v>0</v>
      </c>
      <c r="U190" t="n">
        <f>IF(AND(1&gt;Paramètres!$B$9,Charges!F190&lt;&gt;"",Charges!F190&lt;&gt;0),1,0)+IF(AND(2&gt;Paramètres!$B$9,Charges!G190&lt;&gt;"",Charges!G190&lt;&gt;0),1,0)+IF(AND(3&gt;Paramètres!$B$9,Charges!H190&lt;&gt;"",Charges!H190&lt;&gt;0),1,0)+IF(AND(4&gt;Paramètres!$B$9,Charges!I190&lt;&gt;"",Charges!I190&lt;&gt;0),1,0)+IF(AND(5&gt;Paramètres!$B$9,Charges!J190&lt;&gt;"",Charges!J190&lt;&gt;0),1,0)+IF(AND(6&gt;Paramètres!$B$9,Charges!K190&lt;&gt;"",Charges!K190&lt;&gt;0),1,0)+IF(AND(7&gt;Paramètres!$B$9,Charges!L190&lt;&gt;"",Charges!L190&lt;&gt;0),1,0)+IF(AND(8&gt;Paramètres!$B$9,Charges!M190&lt;&gt;"",Charges!M190&lt;&gt;0),1,0)+IF(AND(9&gt;Paramètres!$B$9,Charges!N190&lt;&gt;"",Charges!N190&lt;&gt;0),1,0)+IF(AND(10&gt;Paramètres!$B$9,Charges!O190&lt;&gt;"",Charges!O190&lt;&gt;0),1,0)+IF(AND(11&gt;Paramètres!$B$9,Charges!P190&lt;&gt;"",Charges!P190&lt;&gt;0),1,0)+IF(AND(12&gt;Paramètres!$B$9,Charges!Q190&lt;&gt;"",Charges!Q190&lt;&gt;0),1,0)+IF(AND(13&gt;Paramètres!$B$9,Charges!R190&lt;&gt;"",Charges!R190&lt;&gt;0),1,0)</f>
        <v>0</v>
      </c>
      <c r="V190" t="n">
        <f>IF(IFERROR(VLOOKUP(A190,'Projets'!$A$8:$Z$67,5,FALSE),"")="Engager",1,0)</f>
        <v>0</v>
      </c>
      <c r="W190" t="n">
        <f>IF(IFERROR(VLOOKUP(A190,'Projets'!$A$8:$Z$67,6,FALSE),"")="Engager",1,0)</f>
        <v>0</v>
      </c>
      <c r="X190" t="n">
        <f>E190*S190</f>
        <v>0</v>
      </c>
      <c r="Y190" t="n">
        <f>F190*S190</f>
        <v>0</v>
      </c>
      <c r="Z190" t="n">
        <f>G190*S190</f>
        <v>0</v>
      </c>
      <c r="AA190" t="n">
        <f>H190*S190</f>
        <v>0</v>
      </c>
      <c r="AB190" t="n">
        <f>I190*S190</f>
        <v>0</v>
      </c>
      <c r="AC190" t="n">
        <f>J190*S190</f>
        <v>0</v>
      </c>
      <c r="AD190" t="n">
        <f>K190*S190</f>
        <v>0</v>
      </c>
      <c r="AE190" t="n">
        <f>L190*S190</f>
        <v>0</v>
      </c>
      <c r="AF190" t="n">
        <f>M190*S190</f>
        <v>0</v>
      </c>
      <c r="AG190" t="n">
        <f>N190*S190</f>
        <v>0</v>
      </c>
      <c r="AH190" t="n">
        <f>O190*S190</f>
        <v>0</v>
      </c>
      <c r="AI190" t="n">
        <f>P190*S190</f>
        <v>0</v>
      </c>
      <c r="AJ190" t="n">
        <f>Q190*S190</f>
        <v>0</v>
      </c>
      <c r="AK190" t="n">
        <f>E190*V190</f>
        <v>0</v>
      </c>
      <c r="AL190" t="n">
        <f>F190*V190</f>
        <v>0</v>
      </c>
      <c r="AM190" t="n">
        <f>G190*V190</f>
        <v>0</v>
      </c>
      <c r="AN190" t="n">
        <f>H190*V190</f>
        <v>0</v>
      </c>
      <c r="AO190" t="n">
        <f>I190*V190</f>
        <v>0</v>
      </c>
      <c r="AP190" t="n">
        <f>J190*V190</f>
        <v>0</v>
      </c>
      <c r="AQ190" t="n">
        <f>K190*V190</f>
        <v>0</v>
      </c>
      <c r="AR190" t="n">
        <f>L190*V190</f>
        <v>0</v>
      </c>
      <c r="AS190" t="n">
        <f>M190*V190</f>
        <v>0</v>
      </c>
      <c r="AT190" t="n">
        <f>N190*V190</f>
        <v>0</v>
      </c>
      <c r="AU190" t="n">
        <f>O190*V190</f>
        <v>0</v>
      </c>
      <c r="AV190" t="n">
        <f>P190*V190</f>
        <v>0</v>
      </c>
      <c r="AW190" t="n">
        <f>Q190*V190</f>
        <v>0</v>
      </c>
      <c r="AX190" t="n">
        <f>E190*W190</f>
        <v>0</v>
      </c>
      <c r="AY190" t="n">
        <f>F190*W190</f>
        <v>0</v>
      </c>
      <c r="AZ190" t="n">
        <f>G190*W190</f>
        <v>0</v>
      </c>
      <c r="BA190" t="n">
        <f>H190*W190</f>
        <v>0</v>
      </c>
      <c r="BB190" t="n">
        <f>I190*W190</f>
        <v>0</v>
      </c>
      <c r="BC190" t="n">
        <f>J190*W190</f>
        <v>0</v>
      </c>
      <c r="BD190" t="n">
        <f>K190*W190</f>
        <v>0</v>
      </c>
      <c r="BE190" t="n">
        <f>L190*W190</f>
        <v>0</v>
      </c>
      <c r="BF190" t="n">
        <f>M190*W190</f>
        <v>0</v>
      </c>
      <c r="BG190" t="n">
        <f>N190*W190</f>
        <v>0</v>
      </c>
      <c r="BH190" t="n">
        <f>O190*W190</f>
        <v>0</v>
      </c>
      <c r="BI190" t="n">
        <f>P190*W190</f>
        <v>0</v>
      </c>
      <c r="BJ190" t="n">
        <f>Q190*W190</f>
        <v>0</v>
      </c>
    </row>
    <row r="191">
      <c r="A191" t="n">
        <f>Charges!A191</f>
        <v>0</v>
      </c>
      <c r="B191" t="n">
        <f>Charges!C191</f>
        <v>0</v>
      </c>
      <c r="C191" t="str">
        <f>Charges!D191</f>
        <v/>
      </c>
      <c r="E191" t="n">
        <f>IF(1&lt;=Paramètres!$B$9,MAX(0,IFERROR(N(IF(ISNUMBER(Charges!F191),MAX(0,Charges!F191),IFERROR(VLOOKUP(Charges!F191,Paramètres!$A$15:$B$18,2,FALSE),0))),0)),0)</f>
        <v>0</v>
      </c>
      <c r="F191" t="n">
        <f>IF(2&lt;=Paramètres!$B$9,MAX(0,IFERROR(N(IF(ISNUMBER(Charges!G191),MAX(0,Charges!G191),IFERROR(VLOOKUP(Charges!G191,Paramètres!$A$15:$B$18,2,FALSE),0))),0)),0)</f>
        <v>0</v>
      </c>
      <c r="G191" t="n">
        <f>IF(3&lt;=Paramètres!$B$9,MAX(0,IFERROR(N(IF(ISNUMBER(Charges!H191),MAX(0,Charges!H191),IFERROR(VLOOKUP(Charges!H191,Paramètres!$A$15:$B$18,2,FALSE),0))),0)),0)</f>
        <v>0</v>
      </c>
      <c r="H191" t="n">
        <f>IF(4&lt;=Paramètres!$B$9,MAX(0,IFERROR(N(IF(ISNUMBER(Charges!I191),MAX(0,Charges!I191),IFERROR(VLOOKUP(Charges!I191,Paramètres!$A$15:$B$18,2,FALSE),0))),0)),0)</f>
        <v>0</v>
      </c>
      <c r="I191" t="n">
        <f>IF(5&lt;=Paramètres!$B$9,MAX(0,IFERROR(N(IF(ISNUMBER(Charges!J191),MAX(0,Charges!J191),IFERROR(VLOOKUP(Charges!J191,Paramètres!$A$15:$B$18,2,FALSE),0))),0)),0)</f>
        <v>0</v>
      </c>
      <c r="J191" t="n">
        <f>IF(6&lt;=Paramètres!$B$9,MAX(0,IFERROR(N(IF(ISNUMBER(Charges!K191),MAX(0,Charges!K191),IFERROR(VLOOKUP(Charges!K191,Paramètres!$A$15:$B$18,2,FALSE),0))),0)),0)</f>
        <v>0</v>
      </c>
      <c r="K191" t="n">
        <f>IF(7&lt;=Paramètres!$B$9,MAX(0,IFERROR(N(IF(ISNUMBER(Charges!L191),MAX(0,Charges!L191),IFERROR(VLOOKUP(Charges!L191,Paramètres!$A$15:$B$18,2,FALSE),0))),0)),0)</f>
        <v>0</v>
      </c>
      <c r="L191" t="n">
        <f>IF(8&lt;=Paramètres!$B$9,MAX(0,IFERROR(N(IF(ISNUMBER(Charges!M191),MAX(0,Charges!M191),IFERROR(VLOOKUP(Charges!M191,Paramètres!$A$15:$B$18,2,FALSE),0))),0)),0)</f>
        <v>0</v>
      </c>
      <c r="M191" t="n">
        <f>IF(9&lt;=Paramètres!$B$9,MAX(0,IFERROR(N(IF(ISNUMBER(Charges!N191),MAX(0,Charges!N191),IFERROR(VLOOKUP(Charges!N191,Paramètres!$A$15:$B$18,2,FALSE),0))),0)),0)</f>
        <v>0</v>
      </c>
      <c r="N191" t="n">
        <f>IF(10&lt;=Paramètres!$B$9,MAX(0,IFERROR(N(IF(ISNUMBER(Charges!O191),MAX(0,Charges!O191),IFERROR(VLOOKUP(Charges!O191,Paramètres!$A$15:$B$18,2,FALSE),0))),0)),0)</f>
        <v>0</v>
      </c>
      <c r="O191" t="n">
        <f>IF(11&lt;=Paramètres!$B$9,MAX(0,IFERROR(N(IF(ISNUMBER(Charges!P191),MAX(0,Charges!P191),IFERROR(VLOOKUP(Charges!P191,Paramètres!$A$15:$B$18,2,FALSE),0))),0)),0)</f>
        <v>0</v>
      </c>
      <c r="P191" t="n">
        <f>IF(12&lt;=Paramètres!$B$9,MAX(0,IFERROR(N(IF(ISNUMBER(Charges!Q191),MAX(0,Charges!Q191),IFERROR(VLOOKUP(Charges!Q191,Paramètres!$A$15:$B$18,2,FALSE),0))),0)),0)</f>
        <v>0</v>
      </c>
      <c r="Q191" t="n">
        <f>IF(13&lt;=Paramètres!$B$9,MAX(0,IFERROR(N(IF(ISNUMBER(Charges!R191),MAX(0,Charges!R191),IFERROR(VLOOKUP(Charges!R191,Paramètres!$A$15:$B$18,2,FALSE),0))),0)),0)</f>
        <v>0</v>
      </c>
      <c r="R191" t="n">
        <f>SUM(E191:Q191)</f>
        <v>0</v>
      </c>
      <c r="S191" t="n">
        <f>IF(IFERROR(VLOOKUP(A191,'Projets'!$A$8:$Z$67,7,FALSE),"")="Engager",1,0)</f>
        <v>0</v>
      </c>
      <c r="T191" t="n">
        <f>IF(OR(Charges!F191="",AND(ISNUMBER(Charges!F191),Charges!F191&gt;=0),Charges!F191="S",Charges!F191="M",Charges!F191="L",Charges!F191="XL"),0,1)+IF(OR(Charges!G191="",AND(ISNUMBER(Charges!G191),Charges!G191&gt;=0),Charges!G191="S",Charges!G191="M",Charges!G191="L",Charges!G191="XL"),0,1)+IF(OR(Charges!H191="",AND(ISNUMBER(Charges!H191),Charges!H191&gt;=0),Charges!H191="S",Charges!H191="M",Charges!H191="L",Charges!H191="XL"),0,1)+IF(OR(Charges!I191="",AND(ISNUMBER(Charges!I191),Charges!I191&gt;=0),Charges!I191="S",Charges!I191="M",Charges!I191="L",Charges!I191="XL"),0,1)+IF(OR(Charges!J191="",AND(ISNUMBER(Charges!J191),Charges!J191&gt;=0),Charges!J191="S",Charges!J191="M",Charges!J191="L",Charges!J191="XL"),0,1)+IF(OR(Charges!K191="",AND(ISNUMBER(Charges!K191),Charges!K191&gt;=0),Charges!K191="S",Charges!K191="M",Charges!K191="L",Charges!K191="XL"),0,1)+IF(OR(Charges!L191="",AND(ISNUMBER(Charges!L191),Charges!L191&gt;=0),Charges!L191="S",Charges!L191="M",Charges!L191="L",Charges!L191="XL"),0,1)+IF(OR(Charges!M191="",AND(ISNUMBER(Charges!M191),Charges!M191&gt;=0),Charges!M191="S",Charges!M191="M",Charges!M191="L",Charges!M191="XL"),0,1)+IF(OR(Charges!N191="",AND(ISNUMBER(Charges!N191),Charges!N191&gt;=0),Charges!N191="S",Charges!N191="M",Charges!N191="L",Charges!N191="XL"),0,1)+IF(OR(Charges!O191="",AND(ISNUMBER(Charges!O191),Charges!O191&gt;=0),Charges!O191="S",Charges!O191="M",Charges!O191="L",Charges!O191="XL"),0,1)+IF(OR(Charges!P191="",AND(ISNUMBER(Charges!P191),Charges!P191&gt;=0),Charges!P191="S",Charges!P191="M",Charges!P191="L",Charges!P191="XL"),0,1)+IF(OR(Charges!Q191="",AND(ISNUMBER(Charges!Q191),Charges!Q191&gt;=0),Charges!Q191="S",Charges!Q191="M",Charges!Q191="L",Charges!Q191="XL"),0,1)+IF(OR(Charges!R191="",AND(ISNUMBER(Charges!R191),Charges!R191&gt;=0),Charges!R191="S",Charges!R191="M",Charges!R191="L",Charges!R191="XL"),0,1)</f>
        <v>0</v>
      </c>
      <c r="U191" t="n">
        <f>IF(AND(1&gt;Paramètres!$B$9,Charges!F191&lt;&gt;"",Charges!F191&lt;&gt;0),1,0)+IF(AND(2&gt;Paramètres!$B$9,Charges!G191&lt;&gt;"",Charges!G191&lt;&gt;0),1,0)+IF(AND(3&gt;Paramètres!$B$9,Charges!H191&lt;&gt;"",Charges!H191&lt;&gt;0),1,0)+IF(AND(4&gt;Paramètres!$B$9,Charges!I191&lt;&gt;"",Charges!I191&lt;&gt;0),1,0)+IF(AND(5&gt;Paramètres!$B$9,Charges!J191&lt;&gt;"",Charges!J191&lt;&gt;0),1,0)+IF(AND(6&gt;Paramètres!$B$9,Charges!K191&lt;&gt;"",Charges!K191&lt;&gt;0),1,0)+IF(AND(7&gt;Paramètres!$B$9,Charges!L191&lt;&gt;"",Charges!L191&lt;&gt;0),1,0)+IF(AND(8&gt;Paramètres!$B$9,Charges!M191&lt;&gt;"",Charges!M191&lt;&gt;0),1,0)+IF(AND(9&gt;Paramètres!$B$9,Charges!N191&lt;&gt;"",Charges!N191&lt;&gt;0),1,0)+IF(AND(10&gt;Paramètres!$B$9,Charges!O191&lt;&gt;"",Charges!O191&lt;&gt;0),1,0)+IF(AND(11&gt;Paramètres!$B$9,Charges!P191&lt;&gt;"",Charges!P191&lt;&gt;0),1,0)+IF(AND(12&gt;Paramètres!$B$9,Charges!Q191&lt;&gt;"",Charges!Q191&lt;&gt;0),1,0)+IF(AND(13&gt;Paramètres!$B$9,Charges!R191&lt;&gt;"",Charges!R191&lt;&gt;0),1,0)</f>
        <v>0</v>
      </c>
      <c r="V191" t="n">
        <f>IF(IFERROR(VLOOKUP(A191,'Projets'!$A$8:$Z$67,5,FALSE),"")="Engager",1,0)</f>
        <v>0</v>
      </c>
      <c r="W191" t="n">
        <f>IF(IFERROR(VLOOKUP(A191,'Projets'!$A$8:$Z$67,6,FALSE),"")="Engager",1,0)</f>
        <v>0</v>
      </c>
      <c r="X191" t="n">
        <f>E191*S191</f>
        <v>0</v>
      </c>
      <c r="Y191" t="n">
        <f>F191*S191</f>
        <v>0</v>
      </c>
      <c r="Z191" t="n">
        <f>G191*S191</f>
        <v>0</v>
      </c>
      <c r="AA191" t="n">
        <f>H191*S191</f>
        <v>0</v>
      </c>
      <c r="AB191" t="n">
        <f>I191*S191</f>
        <v>0</v>
      </c>
      <c r="AC191" t="n">
        <f>J191*S191</f>
        <v>0</v>
      </c>
      <c r="AD191" t="n">
        <f>K191*S191</f>
        <v>0</v>
      </c>
      <c r="AE191" t="n">
        <f>L191*S191</f>
        <v>0</v>
      </c>
      <c r="AF191" t="n">
        <f>M191*S191</f>
        <v>0</v>
      </c>
      <c r="AG191" t="n">
        <f>N191*S191</f>
        <v>0</v>
      </c>
      <c r="AH191" t="n">
        <f>O191*S191</f>
        <v>0</v>
      </c>
      <c r="AI191" t="n">
        <f>P191*S191</f>
        <v>0</v>
      </c>
      <c r="AJ191" t="n">
        <f>Q191*S191</f>
        <v>0</v>
      </c>
      <c r="AK191" t="n">
        <f>E191*V191</f>
        <v>0</v>
      </c>
      <c r="AL191" t="n">
        <f>F191*V191</f>
        <v>0</v>
      </c>
      <c r="AM191" t="n">
        <f>G191*V191</f>
        <v>0</v>
      </c>
      <c r="AN191" t="n">
        <f>H191*V191</f>
        <v>0</v>
      </c>
      <c r="AO191" t="n">
        <f>I191*V191</f>
        <v>0</v>
      </c>
      <c r="AP191" t="n">
        <f>J191*V191</f>
        <v>0</v>
      </c>
      <c r="AQ191" t="n">
        <f>K191*V191</f>
        <v>0</v>
      </c>
      <c r="AR191" t="n">
        <f>L191*V191</f>
        <v>0</v>
      </c>
      <c r="AS191" t="n">
        <f>M191*V191</f>
        <v>0</v>
      </c>
      <c r="AT191" t="n">
        <f>N191*V191</f>
        <v>0</v>
      </c>
      <c r="AU191" t="n">
        <f>O191*V191</f>
        <v>0</v>
      </c>
      <c r="AV191" t="n">
        <f>P191*V191</f>
        <v>0</v>
      </c>
      <c r="AW191" t="n">
        <f>Q191*V191</f>
        <v>0</v>
      </c>
      <c r="AX191" t="n">
        <f>E191*W191</f>
        <v>0</v>
      </c>
      <c r="AY191" t="n">
        <f>F191*W191</f>
        <v>0</v>
      </c>
      <c r="AZ191" t="n">
        <f>G191*W191</f>
        <v>0</v>
      </c>
      <c r="BA191" t="n">
        <f>H191*W191</f>
        <v>0</v>
      </c>
      <c r="BB191" t="n">
        <f>I191*W191</f>
        <v>0</v>
      </c>
      <c r="BC191" t="n">
        <f>J191*W191</f>
        <v>0</v>
      </c>
      <c r="BD191" t="n">
        <f>K191*W191</f>
        <v>0</v>
      </c>
      <c r="BE191" t="n">
        <f>L191*W191</f>
        <v>0</v>
      </c>
      <c r="BF191" t="n">
        <f>M191*W191</f>
        <v>0</v>
      </c>
      <c r="BG191" t="n">
        <f>N191*W191</f>
        <v>0</v>
      </c>
      <c r="BH191" t="n">
        <f>O191*W191</f>
        <v>0</v>
      </c>
      <c r="BI191" t="n">
        <f>P191*W191</f>
        <v>0</v>
      </c>
      <c r="BJ191" t="n">
        <f>Q191*W191</f>
        <v>0</v>
      </c>
    </row>
    <row r="192">
      <c r="A192" t="n">
        <f>Charges!A192</f>
        <v>0</v>
      </c>
      <c r="B192" t="n">
        <f>Charges!C192</f>
        <v>0</v>
      </c>
      <c r="C192" t="str">
        <f>Charges!D192</f>
        <v/>
      </c>
      <c r="E192" t="n">
        <f>IF(1&lt;=Paramètres!$B$9,MAX(0,IFERROR(N(IF(ISNUMBER(Charges!F192),MAX(0,Charges!F192),IFERROR(VLOOKUP(Charges!F192,Paramètres!$A$15:$B$18,2,FALSE),0))),0)),0)</f>
        <v>0</v>
      </c>
      <c r="F192" t="n">
        <f>IF(2&lt;=Paramètres!$B$9,MAX(0,IFERROR(N(IF(ISNUMBER(Charges!G192),MAX(0,Charges!G192),IFERROR(VLOOKUP(Charges!G192,Paramètres!$A$15:$B$18,2,FALSE),0))),0)),0)</f>
        <v>0</v>
      </c>
      <c r="G192" t="n">
        <f>IF(3&lt;=Paramètres!$B$9,MAX(0,IFERROR(N(IF(ISNUMBER(Charges!H192),MAX(0,Charges!H192),IFERROR(VLOOKUP(Charges!H192,Paramètres!$A$15:$B$18,2,FALSE),0))),0)),0)</f>
        <v>0</v>
      </c>
      <c r="H192" t="n">
        <f>IF(4&lt;=Paramètres!$B$9,MAX(0,IFERROR(N(IF(ISNUMBER(Charges!I192),MAX(0,Charges!I192),IFERROR(VLOOKUP(Charges!I192,Paramètres!$A$15:$B$18,2,FALSE),0))),0)),0)</f>
        <v>0</v>
      </c>
      <c r="I192" t="n">
        <f>IF(5&lt;=Paramètres!$B$9,MAX(0,IFERROR(N(IF(ISNUMBER(Charges!J192),MAX(0,Charges!J192),IFERROR(VLOOKUP(Charges!J192,Paramètres!$A$15:$B$18,2,FALSE),0))),0)),0)</f>
        <v>0</v>
      </c>
      <c r="J192" t="n">
        <f>IF(6&lt;=Paramètres!$B$9,MAX(0,IFERROR(N(IF(ISNUMBER(Charges!K192),MAX(0,Charges!K192),IFERROR(VLOOKUP(Charges!K192,Paramètres!$A$15:$B$18,2,FALSE),0))),0)),0)</f>
        <v>0</v>
      </c>
      <c r="K192" t="n">
        <f>IF(7&lt;=Paramètres!$B$9,MAX(0,IFERROR(N(IF(ISNUMBER(Charges!L192),MAX(0,Charges!L192),IFERROR(VLOOKUP(Charges!L192,Paramètres!$A$15:$B$18,2,FALSE),0))),0)),0)</f>
        <v>0</v>
      </c>
      <c r="L192" t="n">
        <f>IF(8&lt;=Paramètres!$B$9,MAX(0,IFERROR(N(IF(ISNUMBER(Charges!M192),MAX(0,Charges!M192),IFERROR(VLOOKUP(Charges!M192,Paramètres!$A$15:$B$18,2,FALSE),0))),0)),0)</f>
        <v>0</v>
      </c>
      <c r="M192" t="n">
        <f>IF(9&lt;=Paramètres!$B$9,MAX(0,IFERROR(N(IF(ISNUMBER(Charges!N192),MAX(0,Charges!N192),IFERROR(VLOOKUP(Charges!N192,Paramètres!$A$15:$B$18,2,FALSE),0))),0)),0)</f>
        <v>0</v>
      </c>
      <c r="N192" t="n">
        <f>IF(10&lt;=Paramètres!$B$9,MAX(0,IFERROR(N(IF(ISNUMBER(Charges!O192),MAX(0,Charges!O192),IFERROR(VLOOKUP(Charges!O192,Paramètres!$A$15:$B$18,2,FALSE),0))),0)),0)</f>
        <v>0</v>
      </c>
      <c r="O192" t="n">
        <f>IF(11&lt;=Paramètres!$B$9,MAX(0,IFERROR(N(IF(ISNUMBER(Charges!P192),MAX(0,Charges!P192),IFERROR(VLOOKUP(Charges!P192,Paramètres!$A$15:$B$18,2,FALSE),0))),0)),0)</f>
        <v>0</v>
      </c>
      <c r="P192" t="n">
        <f>IF(12&lt;=Paramètres!$B$9,MAX(0,IFERROR(N(IF(ISNUMBER(Charges!Q192),MAX(0,Charges!Q192),IFERROR(VLOOKUP(Charges!Q192,Paramètres!$A$15:$B$18,2,FALSE),0))),0)),0)</f>
        <v>0</v>
      </c>
      <c r="Q192" t="n">
        <f>IF(13&lt;=Paramètres!$B$9,MAX(0,IFERROR(N(IF(ISNUMBER(Charges!R192),MAX(0,Charges!R192),IFERROR(VLOOKUP(Charges!R192,Paramètres!$A$15:$B$18,2,FALSE),0))),0)),0)</f>
        <v>0</v>
      </c>
      <c r="R192" t="n">
        <f>SUM(E192:Q192)</f>
        <v>0</v>
      </c>
      <c r="S192" t="n">
        <f>IF(IFERROR(VLOOKUP(A192,'Projets'!$A$8:$Z$67,7,FALSE),"")="Engager",1,0)</f>
        <v>0</v>
      </c>
      <c r="T192" t="n">
        <f>IF(OR(Charges!F192="",AND(ISNUMBER(Charges!F192),Charges!F192&gt;=0),Charges!F192="S",Charges!F192="M",Charges!F192="L",Charges!F192="XL"),0,1)+IF(OR(Charges!G192="",AND(ISNUMBER(Charges!G192),Charges!G192&gt;=0),Charges!G192="S",Charges!G192="M",Charges!G192="L",Charges!G192="XL"),0,1)+IF(OR(Charges!H192="",AND(ISNUMBER(Charges!H192),Charges!H192&gt;=0),Charges!H192="S",Charges!H192="M",Charges!H192="L",Charges!H192="XL"),0,1)+IF(OR(Charges!I192="",AND(ISNUMBER(Charges!I192),Charges!I192&gt;=0),Charges!I192="S",Charges!I192="M",Charges!I192="L",Charges!I192="XL"),0,1)+IF(OR(Charges!J192="",AND(ISNUMBER(Charges!J192),Charges!J192&gt;=0),Charges!J192="S",Charges!J192="M",Charges!J192="L",Charges!J192="XL"),0,1)+IF(OR(Charges!K192="",AND(ISNUMBER(Charges!K192),Charges!K192&gt;=0),Charges!K192="S",Charges!K192="M",Charges!K192="L",Charges!K192="XL"),0,1)+IF(OR(Charges!L192="",AND(ISNUMBER(Charges!L192),Charges!L192&gt;=0),Charges!L192="S",Charges!L192="M",Charges!L192="L",Charges!L192="XL"),0,1)+IF(OR(Charges!M192="",AND(ISNUMBER(Charges!M192),Charges!M192&gt;=0),Charges!M192="S",Charges!M192="M",Charges!M192="L",Charges!M192="XL"),0,1)+IF(OR(Charges!N192="",AND(ISNUMBER(Charges!N192),Charges!N192&gt;=0),Charges!N192="S",Charges!N192="M",Charges!N192="L",Charges!N192="XL"),0,1)+IF(OR(Charges!O192="",AND(ISNUMBER(Charges!O192),Charges!O192&gt;=0),Charges!O192="S",Charges!O192="M",Charges!O192="L",Charges!O192="XL"),0,1)+IF(OR(Charges!P192="",AND(ISNUMBER(Charges!P192),Charges!P192&gt;=0),Charges!P192="S",Charges!P192="M",Charges!P192="L",Charges!P192="XL"),0,1)+IF(OR(Charges!Q192="",AND(ISNUMBER(Charges!Q192),Charges!Q192&gt;=0),Charges!Q192="S",Charges!Q192="M",Charges!Q192="L",Charges!Q192="XL"),0,1)+IF(OR(Charges!R192="",AND(ISNUMBER(Charges!R192),Charges!R192&gt;=0),Charges!R192="S",Charges!R192="M",Charges!R192="L",Charges!R192="XL"),0,1)</f>
        <v>0</v>
      </c>
      <c r="U192" t="n">
        <f>IF(AND(1&gt;Paramètres!$B$9,Charges!F192&lt;&gt;"",Charges!F192&lt;&gt;0),1,0)+IF(AND(2&gt;Paramètres!$B$9,Charges!G192&lt;&gt;"",Charges!G192&lt;&gt;0),1,0)+IF(AND(3&gt;Paramètres!$B$9,Charges!H192&lt;&gt;"",Charges!H192&lt;&gt;0),1,0)+IF(AND(4&gt;Paramètres!$B$9,Charges!I192&lt;&gt;"",Charges!I192&lt;&gt;0),1,0)+IF(AND(5&gt;Paramètres!$B$9,Charges!J192&lt;&gt;"",Charges!J192&lt;&gt;0),1,0)+IF(AND(6&gt;Paramètres!$B$9,Charges!K192&lt;&gt;"",Charges!K192&lt;&gt;0),1,0)+IF(AND(7&gt;Paramètres!$B$9,Charges!L192&lt;&gt;"",Charges!L192&lt;&gt;0),1,0)+IF(AND(8&gt;Paramètres!$B$9,Charges!M192&lt;&gt;"",Charges!M192&lt;&gt;0),1,0)+IF(AND(9&gt;Paramètres!$B$9,Charges!N192&lt;&gt;"",Charges!N192&lt;&gt;0),1,0)+IF(AND(10&gt;Paramètres!$B$9,Charges!O192&lt;&gt;"",Charges!O192&lt;&gt;0),1,0)+IF(AND(11&gt;Paramètres!$B$9,Charges!P192&lt;&gt;"",Charges!P192&lt;&gt;0),1,0)+IF(AND(12&gt;Paramètres!$B$9,Charges!Q192&lt;&gt;"",Charges!Q192&lt;&gt;0),1,0)+IF(AND(13&gt;Paramètres!$B$9,Charges!R192&lt;&gt;"",Charges!R192&lt;&gt;0),1,0)</f>
        <v>0</v>
      </c>
      <c r="V192" t="n">
        <f>IF(IFERROR(VLOOKUP(A192,'Projets'!$A$8:$Z$67,5,FALSE),"")="Engager",1,0)</f>
        <v>0</v>
      </c>
      <c r="W192" t="n">
        <f>IF(IFERROR(VLOOKUP(A192,'Projets'!$A$8:$Z$67,6,FALSE),"")="Engager",1,0)</f>
        <v>0</v>
      </c>
      <c r="X192" t="n">
        <f>E192*S192</f>
        <v>0</v>
      </c>
      <c r="Y192" t="n">
        <f>F192*S192</f>
        <v>0</v>
      </c>
      <c r="Z192" t="n">
        <f>G192*S192</f>
        <v>0</v>
      </c>
      <c r="AA192" t="n">
        <f>H192*S192</f>
        <v>0</v>
      </c>
      <c r="AB192" t="n">
        <f>I192*S192</f>
        <v>0</v>
      </c>
      <c r="AC192" t="n">
        <f>J192*S192</f>
        <v>0</v>
      </c>
      <c r="AD192" t="n">
        <f>K192*S192</f>
        <v>0</v>
      </c>
      <c r="AE192" t="n">
        <f>L192*S192</f>
        <v>0</v>
      </c>
      <c r="AF192" t="n">
        <f>M192*S192</f>
        <v>0</v>
      </c>
      <c r="AG192" t="n">
        <f>N192*S192</f>
        <v>0</v>
      </c>
      <c r="AH192" t="n">
        <f>O192*S192</f>
        <v>0</v>
      </c>
      <c r="AI192" t="n">
        <f>P192*S192</f>
        <v>0</v>
      </c>
      <c r="AJ192" t="n">
        <f>Q192*S192</f>
        <v>0</v>
      </c>
      <c r="AK192" t="n">
        <f>E192*V192</f>
        <v>0</v>
      </c>
      <c r="AL192" t="n">
        <f>F192*V192</f>
        <v>0</v>
      </c>
      <c r="AM192" t="n">
        <f>G192*V192</f>
        <v>0</v>
      </c>
      <c r="AN192" t="n">
        <f>H192*V192</f>
        <v>0</v>
      </c>
      <c r="AO192" t="n">
        <f>I192*V192</f>
        <v>0</v>
      </c>
      <c r="AP192" t="n">
        <f>J192*V192</f>
        <v>0</v>
      </c>
      <c r="AQ192" t="n">
        <f>K192*V192</f>
        <v>0</v>
      </c>
      <c r="AR192" t="n">
        <f>L192*V192</f>
        <v>0</v>
      </c>
      <c r="AS192" t="n">
        <f>M192*V192</f>
        <v>0</v>
      </c>
      <c r="AT192" t="n">
        <f>N192*V192</f>
        <v>0</v>
      </c>
      <c r="AU192" t="n">
        <f>O192*V192</f>
        <v>0</v>
      </c>
      <c r="AV192" t="n">
        <f>P192*V192</f>
        <v>0</v>
      </c>
      <c r="AW192" t="n">
        <f>Q192*V192</f>
        <v>0</v>
      </c>
      <c r="AX192" t="n">
        <f>E192*W192</f>
        <v>0</v>
      </c>
      <c r="AY192" t="n">
        <f>F192*W192</f>
        <v>0</v>
      </c>
      <c r="AZ192" t="n">
        <f>G192*W192</f>
        <v>0</v>
      </c>
      <c r="BA192" t="n">
        <f>H192*W192</f>
        <v>0</v>
      </c>
      <c r="BB192" t="n">
        <f>I192*W192</f>
        <v>0</v>
      </c>
      <c r="BC192" t="n">
        <f>J192*W192</f>
        <v>0</v>
      </c>
      <c r="BD192" t="n">
        <f>K192*W192</f>
        <v>0</v>
      </c>
      <c r="BE192" t="n">
        <f>L192*W192</f>
        <v>0</v>
      </c>
      <c r="BF192" t="n">
        <f>M192*W192</f>
        <v>0</v>
      </c>
      <c r="BG192" t="n">
        <f>N192*W192</f>
        <v>0</v>
      </c>
      <c r="BH192" t="n">
        <f>O192*W192</f>
        <v>0</v>
      </c>
      <c r="BI192" t="n">
        <f>P192*W192</f>
        <v>0</v>
      </c>
      <c r="BJ192" t="n">
        <f>Q192*W192</f>
        <v>0</v>
      </c>
    </row>
    <row r="193">
      <c r="A193" t="n">
        <f>Charges!A193</f>
        <v>0</v>
      </c>
      <c r="B193" t="n">
        <f>Charges!C193</f>
        <v>0</v>
      </c>
      <c r="C193" t="str">
        <f>Charges!D193</f>
        <v/>
      </c>
      <c r="E193" t="n">
        <f>IF(1&lt;=Paramètres!$B$9,MAX(0,IFERROR(N(IF(ISNUMBER(Charges!F193),MAX(0,Charges!F193),IFERROR(VLOOKUP(Charges!F193,Paramètres!$A$15:$B$18,2,FALSE),0))),0)),0)</f>
        <v>0</v>
      </c>
      <c r="F193" t="n">
        <f>IF(2&lt;=Paramètres!$B$9,MAX(0,IFERROR(N(IF(ISNUMBER(Charges!G193),MAX(0,Charges!G193),IFERROR(VLOOKUP(Charges!G193,Paramètres!$A$15:$B$18,2,FALSE),0))),0)),0)</f>
        <v>0</v>
      </c>
      <c r="G193" t="n">
        <f>IF(3&lt;=Paramètres!$B$9,MAX(0,IFERROR(N(IF(ISNUMBER(Charges!H193),MAX(0,Charges!H193),IFERROR(VLOOKUP(Charges!H193,Paramètres!$A$15:$B$18,2,FALSE),0))),0)),0)</f>
        <v>0</v>
      </c>
      <c r="H193" t="n">
        <f>IF(4&lt;=Paramètres!$B$9,MAX(0,IFERROR(N(IF(ISNUMBER(Charges!I193),MAX(0,Charges!I193),IFERROR(VLOOKUP(Charges!I193,Paramètres!$A$15:$B$18,2,FALSE),0))),0)),0)</f>
        <v>0</v>
      </c>
      <c r="I193" t="n">
        <f>IF(5&lt;=Paramètres!$B$9,MAX(0,IFERROR(N(IF(ISNUMBER(Charges!J193),MAX(0,Charges!J193),IFERROR(VLOOKUP(Charges!J193,Paramètres!$A$15:$B$18,2,FALSE),0))),0)),0)</f>
        <v>0</v>
      </c>
      <c r="J193" t="n">
        <f>IF(6&lt;=Paramètres!$B$9,MAX(0,IFERROR(N(IF(ISNUMBER(Charges!K193),MAX(0,Charges!K193),IFERROR(VLOOKUP(Charges!K193,Paramètres!$A$15:$B$18,2,FALSE),0))),0)),0)</f>
        <v>0</v>
      </c>
      <c r="K193" t="n">
        <f>IF(7&lt;=Paramètres!$B$9,MAX(0,IFERROR(N(IF(ISNUMBER(Charges!L193),MAX(0,Charges!L193),IFERROR(VLOOKUP(Charges!L193,Paramètres!$A$15:$B$18,2,FALSE),0))),0)),0)</f>
        <v>0</v>
      </c>
      <c r="L193" t="n">
        <f>IF(8&lt;=Paramètres!$B$9,MAX(0,IFERROR(N(IF(ISNUMBER(Charges!M193),MAX(0,Charges!M193),IFERROR(VLOOKUP(Charges!M193,Paramètres!$A$15:$B$18,2,FALSE),0))),0)),0)</f>
        <v>0</v>
      </c>
      <c r="M193" t="n">
        <f>IF(9&lt;=Paramètres!$B$9,MAX(0,IFERROR(N(IF(ISNUMBER(Charges!N193),MAX(0,Charges!N193),IFERROR(VLOOKUP(Charges!N193,Paramètres!$A$15:$B$18,2,FALSE),0))),0)),0)</f>
        <v>0</v>
      </c>
      <c r="N193" t="n">
        <f>IF(10&lt;=Paramètres!$B$9,MAX(0,IFERROR(N(IF(ISNUMBER(Charges!O193),MAX(0,Charges!O193),IFERROR(VLOOKUP(Charges!O193,Paramètres!$A$15:$B$18,2,FALSE),0))),0)),0)</f>
        <v>0</v>
      </c>
      <c r="O193" t="n">
        <f>IF(11&lt;=Paramètres!$B$9,MAX(0,IFERROR(N(IF(ISNUMBER(Charges!P193),MAX(0,Charges!P193),IFERROR(VLOOKUP(Charges!P193,Paramètres!$A$15:$B$18,2,FALSE),0))),0)),0)</f>
        <v>0</v>
      </c>
      <c r="P193" t="n">
        <f>IF(12&lt;=Paramètres!$B$9,MAX(0,IFERROR(N(IF(ISNUMBER(Charges!Q193),MAX(0,Charges!Q193),IFERROR(VLOOKUP(Charges!Q193,Paramètres!$A$15:$B$18,2,FALSE),0))),0)),0)</f>
        <v>0</v>
      </c>
      <c r="Q193" t="n">
        <f>IF(13&lt;=Paramètres!$B$9,MAX(0,IFERROR(N(IF(ISNUMBER(Charges!R193),MAX(0,Charges!R193),IFERROR(VLOOKUP(Charges!R193,Paramètres!$A$15:$B$18,2,FALSE),0))),0)),0)</f>
        <v>0</v>
      </c>
      <c r="R193" t="n">
        <f>SUM(E193:Q193)</f>
        <v>0</v>
      </c>
      <c r="S193" t="n">
        <f>IF(IFERROR(VLOOKUP(A193,'Projets'!$A$8:$Z$67,7,FALSE),"")="Engager",1,0)</f>
        <v>0</v>
      </c>
      <c r="T193" t="n">
        <f>IF(OR(Charges!F193="",AND(ISNUMBER(Charges!F193),Charges!F193&gt;=0),Charges!F193="S",Charges!F193="M",Charges!F193="L",Charges!F193="XL"),0,1)+IF(OR(Charges!G193="",AND(ISNUMBER(Charges!G193),Charges!G193&gt;=0),Charges!G193="S",Charges!G193="M",Charges!G193="L",Charges!G193="XL"),0,1)+IF(OR(Charges!H193="",AND(ISNUMBER(Charges!H193),Charges!H193&gt;=0),Charges!H193="S",Charges!H193="M",Charges!H193="L",Charges!H193="XL"),0,1)+IF(OR(Charges!I193="",AND(ISNUMBER(Charges!I193),Charges!I193&gt;=0),Charges!I193="S",Charges!I193="M",Charges!I193="L",Charges!I193="XL"),0,1)+IF(OR(Charges!J193="",AND(ISNUMBER(Charges!J193),Charges!J193&gt;=0),Charges!J193="S",Charges!J193="M",Charges!J193="L",Charges!J193="XL"),0,1)+IF(OR(Charges!K193="",AND(ISNUMBER(Charges!K193),Charges!K193&gt;=0),Charges!K193="S",Charges!K193="M",Charges!K193="L",Charges!K193="XL"),0,1)+IF(OR(Charges!L193="",AND(ISNUMBER(Charges!L193),Charges!L193&gt;=0),Charges!L193="S",Charges!L193="M",Charges!L193="L",Charges!L193="XL"),0,1)+IF(OR(Charges!M193="",AND(ISNUMBER(Charges!M193),Charges!M193&gt;=0),Charges!M193="S",Charges!M193="M",Charges!M193="L",Charges!M193="XL"),0,1)+IF(OR(Charges!N193="",AND(ISNUMBER(Charges!N193),Charges!N193&gt;=0),Charges!N193="S",Charges!N193="M",Charges!N193="L",Charges!N193="XL"),0,1)+IF(OR(Charges!O193="",AND(ISNUMBER(Charges!O193),Charges!O193&gt;=0),Charges!O193="S",Charges!O193="M",Charges!O193="L",Charges!O193="XL"),0,1)+IF(OR(Charges!P193="",AND(ISNUMBER(Charges!P193),Charges!P193&gt;=0),Charges!P193="S",Charges!P193="M",Charges!P193="L",Charges!P193="XL"),0,1)+IF(OR(Charges!Q193="",AND(ISNUMBER(Charges!Q193),Charges!Q193&gt;=0),Charges!Q193="S",Charges!Q193="M",Charges!Q193="L",Charges!Q193="XL"),0,1)+IF(OR(Charges!R193="",AND(ISNUMBER(Charges!R193),Charges!R193&gt;=0),Charges!R193="S",Charges!R193="M",Charges!R193="L",Charges!R193="XL"),0,1)</f>
        <v>0</v>
      </c>
      <c r="U193" t="n">
        <f>IF(AND(1&gt;Paramètres!$B$9,Charges!F193&lt;&gt;"",Charges!F193&lt;&gt;0),1,0)+IF(AND(2&gt;Paramètres!$B$9,Charges!G193&lt;&gt;"",Charges!G193&lt;&gt;0),1,0)+IF(AND(3&gt;Paramètres!$B$9,Charges!H193&lt;&gt;"",Charges!H193&lt;&gt;0),1,0)+IF(AND(4&gt;Paramètres!$B$9,Charges!I193&lt;&gt;"",Charges!I193&lt;&gt;0),1,0)+IF(AND(5&gt;Paramètres!$B$9,Charges!J193&lt;&gt;"",Charges!J193&lt;&gt;0),1,0)+IF(AND(6&gt;Paramètres!$B$9,Charges!K193&lt;&gt;"",Charges!K193&lt;&gt;0),1,0)+IF(AND(7&gt;Paramètres!$B$9,Charges!L193&lt;&gt;"",Charges!L193&lt;&gt;0),1,0)+IF(AND(8&gt;Paramètres!$B$9,Charges!M193&lt;&gt;"",Charges!M193&lt;&gt;0),1,0)+IF(AND(9&gt;Paramètres!$B$9,Charges!N193&lt;&gt;"",Charges!N193&lt;&gt;0),1,0)+IF(AND(10&gt;Paramètres!$B$9,Charges!O193&lt;&gt;"",Charges!O193&lt;&gt;0),1,0)+IF(AND(11&gt;Paramètres!$B$9,Charges!P193&lt;&gt;"",Charges!P193&lt;&gt;0),1,0)+IF(AND(12&gt;Paramètres!$B$9,Charges!Q193&lt;&gt;"",Charges!Q193&lt;&gt;0),1,0)+IF(AND(13&gt;Paramètres!$B$9,Charges!R193&lt;&gt;"",Charges!R193&lt;&gt;0),1,0)</f>
        <v>0</v>
      </c>
      <c r="V193" t="n">
        <f>IF(IFERROR(VLOOKUP(A193,'Projets'!$A$8:$Z$67,5,FALSE),"")="Engager",1,0)</f>
        <v>0</v>
      </c>
      <c r="W193" t="n">
        <f>IF(IFERROR(VLOOKUP(A193,'Projets'!$A$8:$Z$67,6,FALSE),"")="Engager",1,0)</f>
        <v>0</v>
      </c>
      <c r="X193" t="n">
        <f>E193*S193</f>
        <v>0</v>
      </c>
      <c r="Y193" t="n">
        <f>F193*S193</f>
        <v>0</v>
      </c>
      <c r="Z193" t="n">
        <f>G193*S193</f>
        <v>0</v>
      </c>
      <c r="AA193" t="n">
        <f>H193*S193</f>
        <v>0</v>
      </c>
      <c r="AB193" t="n">
        <f>I193*S193</f>
        <v>0</v>
      </c>
      <c r="AC193" t="n">
        <f>J193*S193</f>
        <v>0</v>
      </c>
      <c r="AD193" t="n">
        <f>K193*S193</f>
        <v>0</v>
      </c>
      <c r="AE193" t="n">
        <f>L193*S193</f>
        <v>0</v>
      </c>
      <c r="AF193" t="n">
        <f>M193*S193</f>
        <v>0</v>
      </c>
      <c r="AG193" t="n">
        <f>N193*S193</f>
        <v>0</v>
      </c>
      <c r="AH193" t="n">
        <f>O193*S193</f>
        <v>0</v>
      </c>
      <c r="AI193" t="n">
        <f>P193*S193</f>
        <v>0</v>
      </c>
      <c r="AJ193" t="n">
        <f>Q193*S193</f>
        <v>0</v>
      </c>
      <c r="AK193" t="n">
        <f>E193*V193</f>
        <v>0</v>
      </c>
      <c r="AL193" t="n">
        <f>F193*V193</f>
        <v>0</v>
      </c>
      <c r="AM193" t="n">
        <f>G193*V193</f>
        <v>0</v>
      </c>
      <c r="AN193" t="n">
        <f>H193*V193</f>
        <v>0</v>
      </c>
      <c r="AO193" t="n">
        <f>I193*V193</f>
        <v>0</v>
      </c>
      <c r="AP193" t="n">
        <f>J193*V193</f>
        <v>0</v>
      </c>
      <c r="AQ193" t="n">
        <f>K193*V193</f>
        <v>0</v>
      </c>
      <c r="AR193" t="n">
        <f>L193*V193</f>
        <v>0</v>
      </c>
      <c r="AS193" t="n">
        <f>M193*V193</f>
        <v>0</v>
      </c>
      <c r="AT193" t="n">
        <f>N193*V193</f>
        <v>0</v>
      </c>
      <c r="AU193" t="n">
        <f>O193*V193</f>
        <v>0</v>
      </c>
      <c r="AV193" t="n">
        <f>P193*V193</f>
        <v>0</v>
      </c>
      <c r="AW193" t="n">
        <f>Q193*V193</f>
        <v>0</v>
      </c>
      <c r="AX193" t="n">
        <f>E193*W193</f>
        <v>0</v>
      </c>
      <c r="AY193" t="n">
        <f>F193*W193</f>
        <v>0</v>
      </c>
      <c r="AZ193" t="n">
        <f>G193*W193</f>
        <v>0</v>
      </c>
      <c r="BA193" t="n">
        <f>H193*W193</f>
        <v>0</v>
      </c>
      <c r="BB193" t="n">
        <f>I193*W193</f>
        <v>0</v>
      </c>
      <c r="BC193" t="n">
        <f>J193*W193</f>
        <v>0</v>
      </c>
      <c r="BD193" t="n">
        <f>K193*W193</f>
        <v>0</v>
      </c>
      <c r="BE193" t="n">
        <f>L193*W193</f>
        <v>0</v>
      </c>
      <c r="BF193" t="n">
        <f>M193*W193</f>
        <v>0</v>
      </c>
      <c r="BG193" t="n">
        <f>N193*W193</f>
        <v>0</v>
      </c>
      <c r="BH193" t="n">
        <f>O193*W193</f>
        <v>0</v>
      </c>
      <c r="BI193" t="n">
        <f>P193*W193</f>
        <v>0</v>
      </c>
      <c r="BJ193" t="n">
        <f>Q193*W193</f>
        <v>0</v>
      </c>
    </row>
    <row r="194">
      <c r="A194" t="n">
        <f>Charges!A194</f>
        <v>0</v>
      </c>
      <c r="B194" t="n">
        <f>Charges!C194</f>
        <v>0</v>
      </c>
      <c r="C194" t="str">
        <f>Charges!D194</f>
        <v/>
      </c>
      <c r="E194" t="n">
        <f>IF(1&lt;=Paramètres!$B$9,MAX(0,IFERROR(N(IF(ISNUMBER(Charges!F194),MAX(0,Charges!F194),IFERROR(VLOOKUP(Charges!F194,Paramètres!$A$15:$B$18,2,FALSE),0))),0)),0)</f>
        <v>0</v>
      </c>
      <c r="F194" t="n">
        <f>IF(2&lt;=Paramètres!$B$9,MAX(0,IFERROR(N(IF(ISNUMBER(Charges!G194),MAX(0,Charges!G194),IFERROR(VLOOKUP(Charges!G194,Paramètres!$A$15:$B$18,2,FALSE),0))),0)),0)</f>
        <v>0</v>
      </c>
      <c r="G194" t="n">
        <f>IF(3&lt;=Paramètres!$B$9,MAX(0,IFERROR(N(IF(ISNUMBER(Charges!H194),MAX(0,Charges!H194),IFERROR(VLOOKUP(Charges!H194,Paramètres!$A$15:$B$18,2,FALSE),0))),0)),0)</f>
        <v>0</v>
      </c>
      <c r="H194" t="n">
        <f>IF(4&lt;=Paramètres!$B$9,MAX(0,IFERROR(N(IF(ISNUMBER(Charges!I194),MAX(0,Charges!I194),IFERROR(VLOOKUP(Charges!I194,Paramètres!$A$15:$B$18,2,FALSE),0))),0)),0)</f>
        <v>0</v>
      </c>
      <c r="I194" t="n">
        <f>IF(5&lt;=Paramètres!$B$9,MAX(0,IFERROR(N(IF(ISNUMBER(Charges!J194),MAX(0,Charges!J194),IFERROR(VLOOKUP(Charges!J194,Paramètres!$A$15:$B$18,2,FALSE),0))),0)),0)</f>
        <v>0</v>
      </c>
      <c r="J194" t="n">
        <f>IF(6&lt;=Paramètres!$B$9,MAX(0,IFERROR(N(IF(ISNUMBER(Charges!K194),MAX(0,Charges!K194),IFERROR(VLOOKUP(Charges!K194,Paramètres!$A$15:$B$18,2,FALSE),0))),0)),0)</f>
        <v>0</v>
      </c>
      <c r="K194" t="n">
        <f>IF(7&lt;=Paramètres!$B$9,MAX(0,IFERROR(N(IF(ISNUMBER(Charges!L194),MAX(0,Charges!L194),IFERROR(VLOOKUP(Charges!L194,Paramètres!$A$15:$B$18,2,FALSE),0))),0)),0)</f>
        <v>0</v>
      </c>
      <c r="L194" t="n">
        <f>IF(8&lt;=Paramètres!$B$9,MAX(0,IFERROR(N(IF(ISNUMBER(Charges!M194),MAX(0,Charges!M194),IFERROR(VLOOKUP(Charges!M194,Paramètres!$A$15:$B$18,2,FALSE),0))),0)),0)</f>
        <v>0</v>
      </c>
      <c r="M194" t="n">
        <f>IF(9&lt;=Paramètres!$B$9,MAX(0,IFERROR(N(IF(ISNUMBER(Charges!N194),MAX(0,Charges!N194),IFERROR(VLOOKUP(Charges!N194,Paramètres!$A$15:$B$18,2,FALSE),0))),0)),0)</f>
        <v>0</v>
      </c>
      <c r="N194" t="n">
        <f>IF(10&lt;=Paramètres!$B$9,MAX(0,IFERROR(N(IF(ISNUMBER(Charges!O194),MAX(0,Charges!O194),IFERROR(VLOOKUP(Charges!O194,Paramètres!$A$15:$B$18,2,FALSE),0))),0)),0)</f>
        <v>0</v>
      </c>
      <c r="O194" t="n">
        <f>IF(11&lt;=Paramètres!$B$9,MAX(0,IFERROR(N(IF(ISNUMBER(Charges!P194),MAX(0,Charges!P194),IFERROR(VLOOKUP(Charges!P194,Paramètres!$A$15:$B$18,2,FALSE),0))),0)),0)</f>
        <v>0</v>
      </c>
      <c r="P194" t="n">
        <f>IF(12&lt;=Paramètres!$B$9,MAX(0,IFERROR(N(IF(ISNUMBER(Charges!Q194),MAX(0,Charges!Q194),IFERROR(VLOOKUP(Charges!Q194,Paramètres!$A$15:$B$18,2,FALSE),0))),0)),0)</f>
        <v>0</v>
      </c>
      <c r="Q194" t="n">
        <f>IF(13&lt;=Paramètres!$B$9,MAX(0,IFERROR(N(IF(ISNUMBER(Charges!R194),MAX(0,Charges!R194),IFERROR(VLOOKUP(Charges!R194,Paramètres!$A$15:$B$18,2,FALSE),0))),0)),0)</f>
        <v>0</v>
      </c>
      <c r="R194" t="n">
        <f>SUM(E194:Q194)</f>
        <v>0</v>
      </c>
      <c r="S194" t="n">
        <f>IF(IFERROR(VLOOKUP(A194,'Projets'!$A$8:$Z$67,7,FALSE),"")="Engager",1,0)</f>
        <v>0</v>
      </c>
      <c r="T194" t="n">
        <f>IF(OR(Charges!F194="",AND(ISNUMBER(Charges!F194),Charges!F194&gt;=0),Charges!F194="S",Charges!F194="M",Charges!F194="L",Charges!F194="XL"),0,1)+IF(OR(Charges!G194="",AND(ISNUMBER(Charges!G194),Charges!G194&gt;=0),Charges!G194="S",Charges!G194="M",Charges!G194="L",Charges!G194="XL"),0,1)+IF(OR(Charges!H194="",AND(ISNUMBER(Charges!H194),Charges!H194&gt;=0),Charges!H194="S",Charges!H194="M",Charges!H194="L",Charges!H194="XL"),0,1)+IF(OR(Charges!I194="",AND(ISNUMBER(Charges!I194),Charges!I194&gt;=0),Charges!I194="S",Charges!I194="M",Charges!I194="L",Charges!I194="XL"),0,1)+IF(OR(Charges!J194="",AND(ISNUMBER(Charges!J194),Charges!J194&gt;=0),Charges!J194="S",Charges!J194="M",Charges!J194="L",Charges!J194="XL"),0,1)+IF(OR(Charges!K194="",AND(ISNUMBER(Charges!K194),Charges!K194&gt;=0),Charges!K194="S",Charges!K194="M",Charges!K194="L",Charges!K194="XL"),0,1)+IF(OR(Charges!L194="",AND(ISNUMBER(Charges!L194),Charges!L194&gt;=0),Charges!L194="S",Charges!L194="M",Charges!L194="L",Charges!L194="XL"),0,1)+IF(OR(Charges!M194="",AND(ISNUMBER(Charges!M194),Charges!M194&gt;=0),Charges!M194="S",Charges!M194="M",Charges!M194="L",Charges!M194="XL"),0,1)+IF(OR(Charges!N194="",AND(ISNUMBER(Charges!N194),Charges!N194&gt;=0),Charges!N194="S",Charges!N194="M",Charges!N194="L",Charges!N194="XL"),0,1)+IF(OR(Charges!O194="",AND(ISNUMBER(Charges!O194),Charges!O194&gt;=0),Charges!O194="S",Charges!O194="M",Charges!O194="L",Charges!O194="XL"),0,1)+IF(OR(Charges!P194="",AND(ISNUMBER(Charges!P194),Charges!P194&gt;=0),Charges!P194="S",Charges!P194="M",Charges!P194="L",Charges!P194="XL"),0,1)+IF(OR(Charges!Q194="",AND(ISNUMBER(Charges!Q194),Charges!Q194&gt;=0),Charges!Q194="S",Charges!Q194="M",Charges!Q194="L",Charges!Q194="XL"),0,1)+IF(OR(Charges!R194="",AND(ISNUMBER(Charges!R194),Charges!R194&gt;=0),Charges!R194="S",Charges!R194="M",Charges!R194="L",Charges!R194="XL"),0,1)</f>
        <v>0</v>
      </c>
      <c r="U194" t="n">
        <f>IF(AND(1&gt;Paramètres!$B$9,Charges!F194&lt;&gt;"",Charges!F194&lt;&gt;0),1,0)+IF(AND(2&gt;Paramètres!$B$9,Charges!G194&lt;&gt;"",Charges!G194&lt;&gt;0),1,0)+IF(AND(3&gt;Paramètres!$B$9,Charges!H194&lt;&gt;"",Charges!H194&lt;&gt;0),1,0)+IF(AND(4&gt;Paramètres!$B$9,Charges!I194&lt;&gt;"",Charges!I194&lt;&gt;0),1,0)+IF(AND(5&gt;Paramètres!$B$9,Charges!J194&lt;&gt;"",Charges!J194&lt;&gt;0),1,0)+IF(AND(6&gt;Paramètres!$B$9,Charges!K194&lt;&gt;"",Charges!K194&lt;&gt;0),1,0)+IF(AND(7&gt;Paramètres!$B$9,Charges!L194&lt;&gt;"",Charges!L194&lt;&gt;0),1,0)+IF(AND(8&gt;Paramètres!$B$9,Charges!M194&lt;&gt;"",Charges!M194&lt;&gt;0),1,0)+IF(AND(9&gt;Paramètres!$B$9,Charges!N194&lt;&gt;"",Charges!N194&lt;&gt;0),1,0)+IF(AND(10&gt;Paramètres!$B$9,Charges!O194&lt;&gt;"",Charges!O194&lt;&gt;0),1,0)+IF(AND(11&gt;Paramètres!$B$9,Charges!P194&lt;&gt;"",Charges!P194&lt;&gt;0),1,0)+IF(AND(12&gt;Paramètres!$B$9,Charges!Q194&lt;&gt;"",Charges!Q194&lt;&gt;0),1,0)+IF(AND(13&gt;Paramètres!$B$9,Charges!R194&lt;&gt;"",Charges!R194&lt;&gt;0),1,0)</f>
        <v>0</v>
      </c>
      <c r="V194" t="n">
        <f>IF(IFERROR(VLOOKUP(A194,'Projets'!$A$8:$Z$67,5,FALSE),"")="Engager",1,0)</f>
        <v>0</v>
      </c>
      <c r="W194" t="n">
        <f>IF(IFERROR(VLOOKUP(A194,'Projets'!$A$8:$Z$67,6,FALSE),"")="Engager",1,0)</f>
        <v>0</v>
      </c>
      <c r="X194" t="n">
        <f>E194*S194</f>
        <v>0</v>
      </c>
      <c r="Y194" t="n">
        <f>F194*S194</f>
        <v>0</v>
      </c>
      <c r="Z194" t="n">
        <f>G194*S194</f>
        <v>0</v>
      </c>
      <c r="AA194" t="n">
        <f>H194*S194</f>
        <v>0</v>
      </c>
      <c r="AB194" t="n">
        <f>I194*S194</f>
        <v>0</v>
      </c>
      <c r="AC194" t="n">
        <f>J194*S194</f>
        <v>0</v>
      </c>
      <c r="AD194" t="n">
        <f>K194*S194</f>
        <v>0</v>
      </c>
      <c r="AE194" t="n">
        <f>L194*S194</f>
        <v>0</v>
      </c>
      <c r="AF194" t="n">
        <f>M194*S194</f>
        <v>0</v>
      </c>
      <c r="AG194" t="n">
        <f>N194*S194</f>
        <v>0</v>
      </c>
      <c r="AH194" t="n">
        <f>O194*S194</f>
        <v>0</v>
      </c>
      <c r="AI194" t="n">
        <f>P194*S194</f>
        <v>0</v>
      </c>
      <c r="AJ194" t="n">
        <f>Q194*S194</f>
        <v>0</v>
      </c>
      <c r="AK194" t="n">
        <f>E194*V194</f>
        <v>0</v>
      </c>
      <c r="AL194" t="n">
        <f>F194*V194</f>
        <v>0</v>
      </c>
      <c r="AM194" t="n">
        <f>G194*V194</f>
        <v>0</v>
      </c>
      <c r="AN194" t="n">
        <f>H194*V194</f>
        <v>0</v>
      </c>
      <c r="AO194" t="n">
        <f>I194*V194</f>
        <v>0</v>
      </c>
      <c r="AP194" t="n">
        <f>J194*V194</f>
        <v>0</v>
      </c>
      <c r="AQ194" t="n">
        <f>K194*V194</f>
        <v>0</v>
      </c>
      <c r="AR194" t="n">
        <f>L194*V194</f>
        <v>0</v>
      </c>
      <c r="AS194" t="n">
        <f>M194*V194</f>
        <v>0</v>
      </c>
      <c r="AT194" t="n">
        <f>N194*V194</f>
        <v>0</v>
      </c>
      <c r="AU194" t="n">
        <f>O194*V194</f>
        <v>0</v>
      </c>
      <c r="AV194" t="n">
        <f>P194*V194</f>
        <v>0</v>
      </c>
      <c r="AW194" t="n">
        <f>Q194*V194</f>
        <v>0</v>
      </c>
      <c r="AX194" t="n">
        <f>E194*W194</f>
        <v>0</v>
      </c>
      <c r="AY194" t="n">
        <f>F194*W194</f>
        <v>0</v>
      </c>
      <c r="AZ194" t="n">
        <f>G194*W194</f>
        <v>0</v>
      </c>
      <c r="BA194" t="n">
        <f>H194*W194</f>
        <v>0</v>
      </c>
      <c r="BB194" t="n">
        <f>I194*W194</f>
        <v>0</v>
      </c>
      <c r="BC194" t="n">
        <f>J194*W194</f>
        <v>0</v>
      </c>
      <c r="BD194" t="n">
        <f>K194*W194</f>
        <v>0</v>
      </c>
      <c r="BE194" t="n">
        <f>L194*W194</f>
        <v>0</v>
      </c>
      <c r="BF194" t="n">
        <f>M194*W194</f>
        <v>0</v>
      </c>
      <c r="BG194" t="n">
        <f>N194*W194</f>
        <v>0</v>
      </c>
      <c r="BH194" t="n">
        <f>O194*W194</f>
        <v>0</v>
      </c>
      <c r="BI194" t="n">
        <f>P194*W194</f>
        <v>0</v>
      </c>
      <c r="BJ194" t="n">
        <f>Q194*W194</f>
        <v>0</v>
      </c>
    </row>
    <row r="195">
      <c r="A195" t="n">
        <f>Charges!A195</f>
        <v>0</v>
      </c>
      <c r="B195" t="n">
        <f>Charges!C195</f>
        <v>0</v>
      </c>
      <c r="C195" t="str">
        <f>Charges!D195</f>
        <v/>
      </c>
      <c r="E195" t="n">
        <f>IF(1&lt;=Paramètres!$B$9,MAX(0,IFERROR(N(IF(ISNUMBER(Charges!F195),MAX(0,Charges!F195),IFERROR(VLOOKUP(Charges!F195,Paramètres!$A$15:$B$18,2,FALSE),0))),0)),0)</f>
        <v>0</v>
      </c>
      <c r="F195" t="n">
        <f>IF(2&lt;=Paramètres!$B$9,MAX(0,IFERROR(N(IF(ISNUMBER(Charges!G195),MAX(0,Charges!G195),IFERROR(VLOOKUP(Charges!G195,Paramètres!$A$15:$B$18,2,FALSE),0))),0)),0)</f>
        <v>0</v>
      </c>
      <c r="G195" t="n">
        <f>IF(3&lt;=Paramètres!$B$9,MAX(0,IFERROR(N(IF(ISNUMBER(Charges!H195),MAX(0,Charges!H195),IFERROR(VLOOKUP(Charges!H195,Paramètres!$A$15:$B$18,2,FALSE),0))),0)),0)</f>
        <v>0</v>
      </c>
      <c r="H195" t="n">
        <f>IF(4&lt;=Paramètres!$B$9,MAX(0,IFERROR(N(IF(ISNUMBER(Charges!I195),MAX(0,Charges!I195),IFERROR(VLOOKUP(Charges!I195,Paramètres!$A$15:$B$18,2,FALSE),0))),0)),0)</f>
        <v>0</v>
      </c>
      <c r="I195" t="n">
        <f>IF(5&lt;=Paramètres!$B$9,MAX(0,IFERROR(N(IF(ISNUMBER(Charges!J195),MAX(0,Charges!J195),IFERROR(VLOOKUP(Charges!J195,Paramètres!$A$15:$B$18,2,FALSE),0))),0)),0)</f>
        <v>0</v>
      </c>
      <c r="J195" t="n">
        <f>IF(6&lt;=Paramètres!$B$9,MAX(0,IFERROR(N(IF(ISNUMBER(Charges!K195),MAX(0,Charges!K195),IFERROR(VLOOKUP(Charges!K195,Paramètres!$A$15:$B$18,2,FALSE),0))),0)),0)</f>
        <v>0</v>
      </c>
      <c r="K195" t="n">
        <f>IF(7&lt;=Paramètres!$B$9,MAX(0,IFERROR(N(IF(ISNUMBER(Charges!L195),MAX(0,Charges!L195),IFERROR(VLOOKUP(Charges!L195,Paramètres!$A$15:$B$18,2,FALSE),0))),0)),0)</f>
        <v>0</v>
      </c>
      <c r="L195" t="n">
        <f>IF(8&lt;=Paramètres!$B$9,MAX(0,IFERROR(N(IF(ISNUMBER(Charges!M195),MAX(0,Charges!M195),IFERROR(VLOOKUP(Charges!M195,Paramètres!$A$15:$B$18,2,FALSE),0))),0)),0)</f>
        <v>0</v>
      </c>
      <c r="M195" t="n">
        <f>IF(9&lt;=Paramètres!$B$9,MAX(0,IFERROR(N(IF(ISNUMBER(Charges!N195),MAX(0,Charges!N195),IFERROR(VLOOKUP(Charges!N195,Paramètres!$A$15:$B$18,2,FALSE),0))),0)),0)</f>
        <v>0</v>
      </c>
      <c r="N195" t="n">
        <f>IF(10&lt;=Paramètres!$B$9,MAX(0,IFERROR(N(IF(ISNUMBER(Charges!O195),MAX(0,Charges!O195),IFERROR(VLOOKUP(Charges!O195,Paramètres!$A$15:$B$18,2,FALSE),0))),0)),0)</f>
        <v>0</v>
      </c>
      <c r="O195" t="n">
        <f>IF(11&lt;=Paramètres!$B$9,MAX(0,IFERROR(N(IF(ISNUMBER(Charges!P195),MAX(0,Charges!P195),IFERROR(VLOOKUP(Charges!P195,Paramètres!$A$15:$B$18,2,FALSE),0))),0)),0)</f>
        <v>0</v>
      </c>
      <c r="P195" t="n">
        <f>IF(12&lt;=Paramètres!$B$9,MAX(0,IFERROR(N(IF(ISNUMBER(Charges!Q195),MAX(0,Charges!Q195),IFERROR(VLOOKUP(Charges!Q195,Paramètres!$A$15:$B$18,2,FALSE),0))),0)),0)</f>
        <v>0</v>
      </c>
      <c r="Q195" t="n">
        <f>IF(13&lt;=Paramètres!$B$9,MAX(0,IFERROR(N(IF(ISNUMBER(Charges!R195),MAX(0,Charges!R195),IFERROR(VLOOKUP(Charges!R195,Paramètres!$A$15:$B$18,2,FALSE),0))),0)),0)</f>
        <v>0</v>
      </c>
      <c r="R195" t="n">
        <f>SUM(E195:Q195)</f>
        <v>0</v>
      </c>
      <c r="S195" t="n">
        <f>IF(IFERROR(VLOOKUP(A195,'Projets'!$A$8:$Z$67,7,FALSE),"")="Engager",1,0)</f>
        <v>0</v>
      </c>
      <c r="T195" t="n">
        <f>IF(OR(Charges!F195="",AND(ISNUMBER(Charges!F195),Charges!F195&gt;=0),Charges!F195="S",Charges!F195="M",Charges!F195="L",Charges!F195="XL"),0,1)+IF(OR(Charges!G195="",AND(ISNUMBER(Charges!G195),Charges!G195&gt;=0),Charges!G195="S",Charges!G195="M",Charges!G195="L",Charges!G195="XL"),0,1)+IF(OR(Charges!H195="",AND(ISNUMBER(Charges!H195),Charges!H195&gt;=0),Charges!H195="S",Charges!H195="M",Charges!H195="L",Charges!H195="XL"),0,1)+IF(OR(Charges!I195="",AND(ISNUMBER(Charges!I195),Charges!I195&gt;=0),Charges!I195="S",Charges!I195="M",Charges!I195="L",Charges!I195="XL"),0,1)+IF(OR(Charges!J195="",AND(ISNUMBER(Charges!J195),Charges!J195&gt;=0),Charges!J195="S",Charges!J195="M",Charges!J195="L",Charges!J195="XL"),0,1)+IF(OR(Charges!K195="",AND(ISNUMBER(Charges!K195),Charges!K195&gt;=0),Charges!K195="S",Charges!K195="M",Charges!K195="L",Charges!K195="XL"),0,1)+IF(OR(Charges!L195="",AND(ISNUMBER(Charges!L195),Charges!L195&gt;=0),Charges!L195="S",Charges!L195="M",Charges!L195="L",Charges!L195="XL"),0,1)+IF(OR(Charges!M195="",AND(ISNUMBER(Charges!M195),Charges!M195&gt;=0),Charges!M195="S",Charges!M195="M",Charges!M195="L",Charges!M195="XL"),0,1)+IF(OR(Charges!N195="",AND(ISNUMBER(Charges!N195),Charges!N195&gt;=0),Charges!N195="S",Charges!N195="M",Charges!N195="L",Charges!N195="XL"),0,1)+IF(OR(Charges!O195="",AND(ISNUMBER(Charges!O195),Charges!O195&gt;=0),Charges!O195="S",Charges!O195="M",Charges!O195="L",Charges!O195="XL"),0,1)+IF(OR(Charges!P195="",AND(ISNUMBER(Charges!P195),Charges!P195&gt;=0),Charges!P195="S",Charges!P195="M",Charges!P195="L",Charges!P195="XL"),0,1)+IF(OR(Charges!Q195="",AND(ISNUMBER(Charges!Q195),Charges!Q195&gt;=0),Charges!Q195="S",Charges!Q195="M",Charges!Q195="L",Charges!Q195="XL"),0,1)+IF(OR(Charges!R195="",AND(ISNUMBER(Charges!R195),Charges!R195&gt;=0),Charges!R195="S",Charges!R195="M",Charges!R195="L",Charges!R195="XL"),0,1)</f>
        <v>0</v>
      </c>
      <c r="U195" t="n">
        <f>IF(AND(1&gt;Paramètres!$B$9,Charges!F195&lt;&gt;"",Charges!F195&lt;&gt;0),1,0)+IF(AND(2&gt;Paramètres!$B$9,Charges!G195&lt;&gt;"",Charges!G195&lt;&gt;0),1,0)+IF(AND(3&gt;Paramètres!$B$9,Charges!H195&lt;&gt;"",Charges!H195&lt;&gt;0),1,0)+IF(AND(4&gt;Paramètres!$B$9,Charges!I195&lt;&gt;"",Charges!I195&lt;&gt;0),1,0)+IF(AND(5&gt;Paramètres!$B$9,Charges!J195&lt;&gt;"",Charges!J195&lt;&gt;0),1,0)+IF(AND(6&gt;Paramètres!$B$9,Charges!K195&lt;&gt;"",Charges!K195&lt;&gt;0),1,0)+IF(AND(7&gt;Paramètres!$B$9,Charges!L195&lt;&gt;"",Charges!L195&lt;&gt;0),1,0)+IF(AND(8&gt;Paramètres!$B$9,Charges!M195&lt;&gt;"",Charges!M195&lt;&gt;0),1,0)+IF(AND(9&gt;Paramètres!$B$9,Charges!N195&lt;&gt;"",Charges!N195&lt;&gt;0),1,0)+IF(AND(10&gt;Paramètres!$B$9,Charges!O195&lt;&gt;"",Charges!O195&lt;&gt;0),1,0)+IF(AND(11&gt;Paramètres!$B$9,Charges!P195&lt;&gt;"",Charges!P195&lt;&gt;0),1,0)+IF(AND(12&gt;Paramètres!$B$9,Charges!Q195&lt;&gt;"",Charges!Q195&lt;&gt;0),1,0)+IF(AND(13&gt;Paramètres!$B$9,Charges!R195&lt;&gt;"",Charges!R195&lt;&gt;0),1,0)</f>
        <v>0</v>
      </c>
      <c r="V195" t="n">
        <f>IF(IFERROR(VLOOKUP(A195,'Projets'!$A$8:$Z$67,5,FALSE),"")="Engager",1,0)</f>
        <v>0</v>
      </c>
      <c r="W195" t="n">
        <f>IF(IFERROR(VLOOKUP(A195,'Projets'!$A$8:$Z$67,6,FALSE),"")="Engager",1,0)</f>
        <v>0</v>
      </c>
      <c r="X195" t="n">
        <f>E195*S195</f>
        <v>0</v>
      </c>
      <c r="Y195" t="n">
        <f>F195*S195</f>
        <v>0</v>
      </c>
      <c r="Z195" t="n">
        <f>G195*S195</f>
        <v>0</v>
      </c>
      <c r="AA195" t="n">
        <f>H195*S195</f>
        <v>0</v>
      </c>
      <c r="AB195" t="n">
        <f>I195*S195</f>
        <v>0</v>
      </c>
      <c r="AC195" t="n">
        <f>J195*S195</f>
        <v>0</v>
      </c>
      <c r="AD195" t="n">
        <f>K195*S195</f>
        <v>0</v>
      </c>
      <c r="AE195" t="n">
        <f>L195*S195</f>
        <v>0</v>
      </c>
      <c r="AF195" t="n">
        <f>M195*S195</f>
        <v>0</v>
      </c>
      <c r="AG195" t="n">
        <f>N195*S195</f>
        <v>0</v>
      </c>
      <c r="AH195" t="n">
        <f>O195*S195</f>
        <v>0</v>
      </c>
      <c r="AI195" t="n">
        <f>P195*S195</f>
        <v>0</v>
      </c>
      <c r="AJ195" t="n">
        <f>Q195*S195</f>
        <v>0</v>
      </c>
      <c r="AK195" t="n">
        <f>E195*V195</f>
        <v>0</v>
      </c>
      <c r="AL195" t="n">
        <f>F195*V195</f>
        <v>0</v>
      </c>
      <c r="AM195" t="n">
        <f>G195*V195</f>
        <v>0</v>
      </c>
      <c r="AN195" t="n">
        <f>H195*V195</f>
        <v>0</v>
      </c>
      <c r="AO195" t="n">
        <f>I195*V195</f>
        <v>0</v>
      </c>
      <c r="AP195" t="n">
        <f>J195*V195</f>
        <v>0</v>
      </c>
      <c r="AQ195" t="n">
        <f>K195*V195</f>
        <v>0</v>
      </c>
      <c r="AR195" t="n">
        <f>L195*V195</f>
        <v>0</v>
      </c>
      <c r="AS195" t="n">
        <f>M195*V195</f>
        <v>0</v>
      </c>
      <c r="AT195" t="n">
        <f>N195*V195</f>
        <v>0</v>
      </c>
      <c r="AU195" t="n">
        <f>O195*V195</f>
        <v>0</v>
      </c>
      <c r="AV195" t="n">
        <f>P195*V195</f>
        <v>0</v>
      </c>
      <c r="AW195" t="n">
        <f>Q195*V195</f>
        <v>0</v>
      </c>
      <c r="AX195" t="n">
        <f>E195*W195</f>
        <v>0</v>
      </c>
      <c r="AY195" t="n">
        <f>F195*W195</f>
        <v>0</v>
      </c>
      <c r="AZ195" t="n">
        <f>G195*W195</f>
        <v>0</v>
      </c>
      <c r="BA195" t="n">
        <f>H195*W195</f>
        <v>0</v>
      </c>
      <c r="BB195" t="n">
        <f>I195*W195</f>
        <v>0</v>
      </c>
      <c r="BC195" t="n">
        <f>J195*W195</f>
        <v>0</v>
      </c>
      <c r="BD195" t="n">
        <f>K195*W195</f>
        <v>0</v>
      </c>
      <c r="BE195" t="n">
        <f>L195*W195</f>
        <v>0</v>
      </c>
      <c r="BF195" t="n">
        <f>M195*W195</f>
        <v>0</v>
      </c>
      <c r="BG195" t="n">
        <f>N195*W195</f>
        <v>0</v>
      </c>
      <c r="BH195" t="n">
        <f>O195*W195</f>
        <v>0</v>
      </c>
      <c r="BI195" t="n">
        <f>P195*W195</f>
        <v>0</v>
      </c>
      <c r="BJ195" t="n">
        <f>Q195*W195</f>
        <v>0</v>
      </c>
    </row>
    <row r="196">
      <c r="A196" t="n">
        <f>Charges!A196</f>
        <v>0</v>
      </c>
      <c r="B196" t="n">
        <f>Charges!C196</f>
        <v>0</v>
      </c>
      <c r="C196" t="str">
        <f>Charges!D196</f>
        <v/>
      </c>
      <c r="E196" t="n">
        <f>IF(1&lt;=Paramètres!$B$9,MAX(0,IFERROR(N(IF(ISNUMBER(Charges!F196),MAX(0,Charges!F196),IFERROR(VLOOKUP(Charges!F196,Paramètres!$A$15:$B$18,2,FALSE),0))),0)),0)</f>
        <v>0</v>
      </c>
      <c r="F196" t="n">
        <f>IF(2&lt;=Paramètres!$B$9,MAX(0,IFERROR(N(IF(ISNUMBER(Charges!G196),MAX(0,Charges!G196),IFERROR(VLOOKUP(Charges!G196,Paramètres!$A$15:$B$18,2,FALSE),0))),0)),0)</f>
        <v>0</v>
      </c>
      <c r="G196" t="n">
        <f>IF(3&lt;=Paramètres!$B$9,MAX(0,IFERROR(N(IF(ISNUMBER(Charges!H196),MAX(0,Charges!H196),IFERROR(VLOOKUP(Charges!H196,Paramètres!$A$15:$B$18,2,FALSE),0))),0)),0)</f>
        <v>0</v>
      </c>
      <c r="H196" t="n">
        <f>IF(4&lt;=Paramètres!$B$9,MAX(0,IFERROR(N(IF(ISNUMBER(Charges!I196),MAX(0,Charges!I196),IFERROR(VLOOKUP(Charges!I196,Paramètres!$A$15:$B$18,2,FALSE),0))),0)),0)</f>
        <v>0</v>
      </c>
      <c r="I196" t="n">
        <f>IF(5&lt;=Paramètres!$B$9,MAX(0,IFERROR(N(IF(ISNUMBER(Charges!J196),MAX(0,Charges!J196),IFERROR(VLOOKUP(Charges!J196,Paramètres!$A$15:$B$18,2,FALSE),0))),0)),0)</f>
        <v>0</v>
      </c>
      <c r="J196" t="n">
        <f>IF(6&lt;=Paramètres!$B$9,MAX(0,IFERROR(N(IF(ISNUMBER(Charges!K196),MAX(0,Charges!K196),IFERROR(VLOOKUP(Charges!K196,Paramètres!$A$15:$B$18,2,FALSE),0))),0)),0)</f>
        <v>0</v>
      </c>
      <c r="K196" t="n">
        <f>IF(7&lt;=Paramètres!$B$9,MAX(0,IFERROR(N(IF(ISNUMBER(Charges!L196),MAX(0,Charges!L196),IFERROR(VLOOKUP(Charges!L196,Paramètres!$A$15:$B$18,2,FALSE),0))),0)),0)</f>
        <v>0</v>
      </c>
      <c r="L196" t="n">
        <f>IF(8&lt;=Paramètres!$B$9,MAX(0,IFERROR(N(IF(ISNUMBER(Charges!M196),MAX(0,Charges!M196),IFERROR(VLOOKUP(Charges!M196,Paramètres!$A$15:$B$18,2,FALSE),0))),0)),0)</f>
        <v>0</v>
      </c>
      <c r="M196" t="n">
        <f>IF(9&lt;=Paramètres!$B$9,MAX(0,IFERROR(N(IF(ISNUMBER(Charges!N196),MAX(0,Charges!N196),IFERROR(VLOOKUP(Charges!N196,Paramètres!$A$15:$B$18,2,FALSE),0))),0)),0)</f>
        <v>0</v>
      </c>
      <c r="N196" t="n">
        <f>IF(10&lt;=Paramètres!$B$9,MAX(0,IFERROR(N(IF(ISNUMBER(Charges!O196),MAX(0,Charges!O196),IFERROR(VLOOKUP(Charges!O196,Paramètres!$A$15:$B$18,2,FALSE),0))),0)),0)</f>
        <v>0</v>
      </c>
      <c r="O196" t="n">
        <f>IF(11&lt;=Paramètres!$B$9,MAX(0,IFERROR(N(IF(ISNUMBER(Charges!P196),MAX(0,Charges!P196),IFERROR(VLOOKUP(Charges!P196,Paramètres!$A$15:$B$18,2,FALSE),0))),0)),0)</f>
        <v>0</v>
      </c>
      <c r="P196" t="n">
        <f>IF(12&lt;=Paramètres!$B$9,MAX(0,IFERROR(N(IF(ISNUMBER(Charges!Q196),MAX(0,Charges!Q196),IFERROR(VLOOKUP(Charges!Q196,Paramètres!$A$15:$B$18,2,FALSE),0))),0)),0)</f>
        <v>0</v>
      </c>
      <c r="Q196" t="n">
        <f>IF(13&lt;=Paramètres!$B$9,MAX(0,IFERROR(N(IF(ISNUMBER(Charges!R196),MAX(0,Charges!R196),IFERROR(VLOOKUP(Charges!R196,Paramètres!$A$15:$B$18,2,FALSE),0))),0)),0)</f>
        <v>0</v>
      </c>
      <c r="R196" t="n">
        <f>SUM(E196:Q196)</f>
        <v>0</v>
      </c>
      <c r="S196" t="n">
        <f>IF(IFERROR(VLOOKUP(A196,'Projets'!$A$8:$Z$67,7,FALSE),"")="Engager",1,0)</f>
        <v>0</v>
      </c>
      <c r="T196" t="n">
        <f>IF(OR(Charges!F196="",AND(ISNUMBER(Charges!F196),Charges!F196&gt;=0),Charges!F196="S",Charges!F196="M",Charges!F196="L",Charges!F196="XL"),0,1)+IF(OR(Charges!G196="",AND(ISNUMBER(Charges!G196),Charges!G196&gt;=0),Charges!G196="S",Charges!G196="M",Charges!G196="L",Charges!G196="XL"),0,1)+IF(OR(Charges!H196="",AND(ISNUMBER(Charges!H196),Charges!H196&gt;=0),Charges!H196="S",Charges!H196="M",Charges!H196="L",Charges!H196="XL"),0,1)+IF(OR(Charges!I196="",AND(ISNUMBER(Charges!I196),Charges!I196&gt;=0),Charges!I196="S",Charges!I196="M",Charges!I196="L",Charges!I196="XL"),0,1)+IF(OR(Charges!J196="",AND(ISNUMBER(Charges!J196),Charges!J196&gt;=0),Charges!J196="S",Charges!J196="M",Charges!J196="L",Charges!J196="XL"),0,1)+IF(OR(Charges!K196="",AND(ISNUMBER(Charges!K196),Charges!K196&gt;=0),Charges!K196="S",Charges!K196="M",Charges!K196="L",Charges!K196="XL"),0,1)+IF(OR(Charges!L196="",AND(ISNUMBER(Charges!L196),Charges!L196&gt;=0),Charges!L196="S",Charges!L196="M",Charges!L196="L",Charges!L196="XL"),0,1)+IF(OR(Charges!M196="",AND(ISNUMBER(Charges!M196),Charges!M196&gt;=0),Charges!M196="S",Charges!M196="M",Charges!M196="L",Charges!M196="XL"),0,1)+IF(OR(Charges!N196="",AND(ISNUMBER(Charges!N196),Charges!N196&gt;=0),Charges!N196="S",Charges!N196="M",Charges!N196="L",Charges!N196="XL"),0,1)+IF(OR(Charges!O196="",AND(ISNUMBER(Charges!O196),Charges!O196&gt;=0),Charges!O196="S",Charges!O196="M",Charges!O196="L",Charges!O196="XL"),0,1)+IF(OR(Charges!P196="",AND(ISNUMBER(Charges!P196),Charges!P196&gt;=0),Charges!P196="S",Charges!P196="M",Charges!P196="L",Charges!P196="XL"),0,1)+IF(OR(Charges!Q196="",AND(ISNUMBER(Charges!Q196),Charges!Q196&gt;=0),Charges!Q196="S",Charges!Q196="M",Charges!Q196="L",Charges!Q196="XL"),0,1)+IF(OR(Charges!R196="",AND(ISNUMBER(Charges!R196),Charges!R196&gt;=0),Charges!R196="S",Charges!R196="M",Charges!R196="L",Charges!R196="XL"),0,1)</f>
        <v>0</v>
      </c>
      <c r="U196" t="n">
        <f>IF(AND(1&gt;Paramètres!$B$9,Charges!F196&lt;&gt;"",Charges!F196&lt;&gt;0),1,0)+IF(AND(2&gt;Paramètres!$B$9,Charges!G196&lt;&gt;"",Charges!G196&lt;&gt;0),1,0)+IF(AND(3&gt;Paramètres!$B$9,Charges!H196&lt;&gt;"",Charges!H196&lt;&gt;0),1,0)+IF(AND(4&gt;Paramètres!$B$9,Charges!I196&lt;&gt;"",Charges!I196&lt;&gt;0),1,0)+IF(AND(5&gt;Paramètres!$B$9,Charges!J196&lt;&gt;"",Charges!J196&lt;&gt;0),1,0)+IF(AND(6&gt;Paramètres!$B$9,Charges!K196&lt;&gt;"",Charges!K196&lt;&gt;0),1,0)+IF(AND(7&gt;Paramètres!$B$9,Charges!L196&lt;&gt;"",Charges!L196&lt;&gt;0),1,0)+IF(AND(8&gt;Paramètres!$B$9,Charges!M196&lt;&gt;"",Charges!M196&lt;&gt;0),1,0)+IF(AND(9&gt;Paramètres!$B$9,Charges!N196&lt;&gt;"",Charges!N196&lt;&gt;0),1,0)+IF(AND(10&gt;Paramètres!$B$9,Charges!O196&lt;&gt;"",Charges!O196&lt;&gt;0),1,0)+IF(AND(11&gt;Paramètres!$B$9,Charges!P196&lt;&gt;"",Charges!P196&lt;&gt;0),1,0)+IF(AND(12&gt;Paramètres!$B$9,Charges!Q196&lt;&gt;"",Charges!Q196&lt;&gt;0),1,0)+IF(AND(13&gt;Paramètres!$B$9,Charges!R196&lt;&gt;"",Charges!R196&lt;&gt;0),1,0)</f>
        <v>0</v>
      </c>
      <c r="V196" t="n">
        <f>IF(IFERROR(VLOOKUP(A196,'Projets'!$A$8:$Z$67,5,FALSE),"")="Engager",1,0)</f>
        <v>0</v>
      </c>
      <c r="W196" t="n">
        <f>IF(IFERROR(VLOOKUP(A196,'Projets'!$A$8:$Z$67,6,FALSE),"")="Engager",1,0)</f>
        <v>0</v>
      </c>
      <c r="X196" t="n">
        <f>E196*S196</f>
        <v>0</v>
      </c>
      <c r="Y196" t="n">
        <f>F196*S196</f>
        <v>0</v>
      </c>
      <c r="Z196" t="n">
        <f>G196*S196</f>
        <v>0</v>
      </c>
      <c r="AA196" t="n">
        <f>H196*S196</f>
        <v>0</v>
      </c>
      <c r="AB196" t="n">
        <f>I196*S196</f>
        <v>0</v>
      </c>
      <c r="AC196" t="n">
        <f>J196*S196</f>
        <v>0</v>
      </c>
      <c r="AD196" t="n">
        <f>K196*S196</f>
        <v>0</v>
      </c>
      <c r="AE196" t="n">
        <f>L196*S196</f>
        <v>0</v>
      </c>
      <c r="AF196" t="n">
        <f>M196*S196</f>
        <v>0</v>
      </c>
      <c r="AG196" t="n">
        <f>N196*S196</f>
        <v>0</v>
      </c>
      <c r="AH196" t="n">
        <f>O196*S196</f>
        <v>0</v>
      </c>
      <c r="AI196" t="n">
        <f>P196*S196</f>
        <v>0</v>
      </c>
      <c r="AJ196" t="n">
        <f>Q196*S196</f>
        <v>0</v>
      </c>
      <c r="AK196" t="n">
        <f>E196*V196</f>
        <v>0</v>
      </c>
      <c r="AL196" t="n">
        <f>F196*V196</f>
        <v>0</v>
      </c>
      <c r="AM196" t="n">
        <f>G196*V196</f>
        <v>0</v>
      </c>
      <c r="AN196" t="n">
        <f>H196*V196</f>
        <v>0</v>
      </c>
      <c r="AO196" t="n">
        <f>I196*V196</f>
        <v>0</v>
      </c>
      <c r="AP196" t="n">
        <f>J196*V196</f>
        <v>0</v>
      </c>
      <c r="AQ196" t="n">
        <f>K196*V196</f>
        <v>0</v>
      </c>
      <c r="AR196" t="n">
        <f>L196*V196</f>
        <v>0</v>
      </c>
      <c r="AS196" t="n">
        <f>M196*V196</f>
        <v>0</v>
      </c>
      <c r="AT196" t="n">
        <f>N196*V196</f>
        <v>0</v>
      </c>
      <c r="AU196" t="n">
        <f>O196*V196</f>
        <v>0</v>
      </c>
      <c r="AV196" t="n">
        <f>P196*V196</f>
        <v>0</v>
      </c>
      <c r="AW196" t="n">
        <f>Q196*V196</f>
        <v>0</v>
      </c>
      <c r="AX196" t="n">
        <f>E196*W196</f>
        <v>0</v>
      </c>
      <c r="AY196" t="n">
        <f>F196*W196</f>
        <v>0</v>
      </c>
      <c r="AZ196" t="n">
        <f>G196*W196</f>
        <v>0</v>
      </c>
      <c r="BA196" t="n">
        <f>H196*W196</f>
        <v>0</v>
      </c>
      <c r="BB196" t="n">
        <f>I196*W196</f>
        <v>0</v>
      </c>
      <c r="BC196" t="n">
        <f>J196*W196</f>
        <v>0</v>
      </c>
      <c r="BD196" t="n">
        <f>K196*W196</f>
        <v>0</v>
      </c>
      <c r="BE196" t="n">
        <f>L196*W196</f>
        <v>0</v>
      </c>
      <c r="BF196" t="n">
        <f>M196*W196</f>
        <v>0</v>
      </c>
      <c r="BG196" t="n">
        <f>N196*W196</f>
        <v>0</v>
      </c>
      <c r="BH196" t="n">
        <f>O196*W196</f>
        <v>0</v>
      </c>
      <c r="BI196" t="n">
        <f>P196*W196</f>
        <v>0</v>
      </c>
      <c r="BJ196" t="n">
        <f>Q196*W196</f>
        <v>0</v>
      </c>
    </row>
    <row r="197">
      <c r="A197" t="n">
        <f>Charges!A197</f>
        <v>0</v>
      </c>
      <c r="B197" t="n">
        <f>Charges!C197</f>
        <v>0</v>
      </c>
      <c r="C197" t="str">
        <f>Charges!D197</f>
        <v/>
      </c>
      <c r="E197" t="n">
        <f>IF(1&lt;=Paramètres!$B$9,MAX(0,IFERROR(N(IF(ISNUMBER(Charges!F197),MAX(0,Charges!F197),IFERROR(VLOOKUP(Charges!F197,Paramètres!$A$15:$B$18,2,FALSE),0))),0)),0)</f>
        <v>0</v>
      </c>
      <c r="F197" t="n">
        <f>IF(2&lt;=Paramètres!$B$9,MAX(0,IFERROR(N(IF(ISNUMBER(Charges!G197),MAX(0,Charges!G197),IFERROR(VLOOKUP(Charges!G197,Paramètres!$A$15:$B$18,2,FALSE),0))),0)),0)</f>
        <v>0</v>
      </c>
      <c r="G197" t="n">
        <f>IF(3&lt;=Paramètres!$B$9,MAX(0,IFERROR(N(IF(ISNUMBER(Charges!H197),MAX(0,Charges!H197),IFERROR(VLOOKUP(Charges!H197,Paramètres!$A$15:$B$18,2,FALSE),0))),0)),0)</f>
        <v>0</v>
      </c>
      <c r="H197" t="n">
        <f>IF(4&lt;=Paramètres!$B$9,MAX(0,IFERROR(N(IF(ISNUMBER(Charges!I197),MAX(0,Charges!I197),IFERROR(VLOOKUP(Charges!I197,Paramètres!$A$15:$B$18,2,FALSE),0))),0)),0)</f>
        <v>0</v>
      </c>
      <c r="I197" t="n">
        <f>IF(5&lt;=Paramètres!$B$9,MAX(0,IFERROR(N(IF(ISNUMBER(Charges!J197),MAX(0,Charges!J197),IFERROR(VLOOKUP(Charges!J197,Paramètres!$A$15:$B$18,2,FALSE),0))),0)),0)</f>
        <v>0</v>
      </c>
      <c r="J197" t="n">
        <f>IF(6&lt;=Paramètres!$B$9,MAX(0,IFERROR(N(IF(ISNUMBER(Charges!K197),MAX(0,Charges!K197),IFERROR(VLOOKUP(Charges!K197,Paramètres!$A$15:$B$18,2,FALSE),0))),0)),0)</f>
        <v>0</v>
      </c>
      <c r="K197" t="n">
        <f>IF(7&lt;=Paramètres!$B$9,MAX(0,IFERROR(N(IF(ISNUMBER(Charges!L197),MAX(0,Charges!L197),IFERROR(VLOOKUP(Charges!L197,Paramètres!$A$15:$B$18,2,FALSE),0))),0)),0)</f>
        <v>0</v>
      </c>
      <c r="L197" t="n">
        <f>IF(8&lt;=Paramètres!$B$9,MAX(0,IFERROR(N(IF(ISNUMBER(Charges!M197),MAX(0,Charges!M197),IFERROR(VLOOKUP(Charges!M197,Paramètres!$A$15:$B$18,2,FALSE),0))),0)),0)</f>
        <v>0</v>
      </c>
      <c r="M197" t="n">
        <f>IF(9&lt;=Paramètres!$B$9,MAX(0,IFERROR(N(IF(ISNUMBER(Charges!N197),MAX(0,Charges!N197),IFERROR(VLOOKUP(Charges!N197,Paramètres!$A$15:$B$18,2,FALSE),0))),0)),0)</f>
        <v>0</v>
      </c>
      <c r="N197" t="n">
        <f>IF(10&lt;=Paramètres!$B$9,MAX(0,IFERROR(N(IF(ISNUMBER(Charges!O197),MAX(0,Charges!O197),IFERROR(VLOOKUP(Charges!O197,Paramètres!$A$15:$B$18,2,FALSE),0))),0)),0)</f>
        <v>0</v>
      </c>
      <c r="O197" t="n">
        <f>IF(11&lt;=Paramètres!$B$9,MAX(0,IFERROR(N(IF(ISNUMBER(Charges!P197),MAX(0,Charges!P197),IFERROR(VLOOKUP(Charges!P197,Paramètres!$A$15:$B$18,2,FALSE),0))),0)),0)</f>
        <v>0</v>
      </c>
      <c r="P197" t="n">
        <f>IF(12&lt;=Paramètres!$B$9,MAX(0,IFERROR(N(IF(ISNUMBER(Charges!Q197),MAX(0,Charges!Q197),IFERROR(VLOOKUP(Charges!Q197,Paramètres!$A$15:$B$18,2,FALSE),0))),0)),0)</f>
        <v>0</v>
      </c>
      <c r="Q197" t="n">
        <f>IF(13&lt;=Paramètres!$B$9,MAX(0,IFERROR(N(IF(ISNUMBER(Charges!R197),MAX(0,Charges!R197),IFERROR(VLOOKUP(Charges!R197,Paramètres!$A$15:$B$18,2,FALSE),0))),0)),0)</f>
        <v>0</v>
      </c>
      <c r="R197" t="n">
        <f>SUM(E197:Q197)</f>
        <v>0</v>
      </c>
      <c r="S197" t="n">
        <f>IF(IFERROR(VLOOKUP(A197,'Projets'!$A$8:$Z$67,7,FALSE),"")="Engager",1,0)</f>
        <v>0</v>
      </c>
      <c r="T197" t="n">
        <f>IF(OR(Charges!F197="",AND(ISNUMBER(Charges!F197),Charges!F197&gt;=0),Charges!F197="S",Charges!F197="M",Charges!F197="L",Charges!F197="XL"),0,1)+IF(OR(Charges!G197="",AND(ISNUMBER(Charges!G197),Charges!G197&gt;=0),Charges!G197="S",Charges!G197="M",Charges!G197="L",Charges!G197="XL"),0,1)+IF(OR(Charges!H197="",AND(ISNUMBER(Charges!H197),Charges!H197&gt;=0),Charges!H197="S",Charges!H197="M",Charges!H197="L",Charges!H197="XL"),0,1)+IF(OR(Charges!I197="",AND(ISNUMBER(Charges!I197),Charges!I197&gt;=0),Charges!I197="S",Charges!I197="M",Charges!I197="L",Charges!I197="XL"),0,1)+IF(OR(Charges!J197="",AND(ISNUMBER(Charges!J197),Charges!J197&gt;=0),Charges!J197="S",Charges!J197="M",Charges!J197="L",Charges!J197="XL"),0,1)+IF(OR(Charges!K197="",AND(ISNUMBER(Charges!K197),Charges!K197&gt;=0),Charges!K197="S",Charges!K197="M",Charges!K197="L",Charges!K197="XL"),0,1)+IF(OR(Charges!L197="",AND(ISNUMBER(Charges!L197),Charges!L197&gt;=0),Charges!L197="S",Charges!L197="M",Charges!L197="L",Charges!L197="XL"),0,1)+IF(OR(Charges!M197="",AND(ISNUMBER(Charges!M197),Charges!M197&gt;=0),Charges!M197="S",Charges!M197="M",Charges!M197="L",Charges!M197="XL"),0,1)+IF(OR(Charges!N197="",AND(ISNUMBER(Charges!N197),Charges!N197&gt;=0),Charges!N197="S",Charges!N197="M",Charges!N197="L",Charges!N197="XL"),0,1)+IF(OR(Charges!O197="",AND(ISNUMBER(Charges!O197),Charges!O197&gt;=0),Charges!O197="S",Charges!O197="M",Charges!O197="L",Charges!O197="XL"),0,1)+IF(OR(Charges!P197="",AND(ISNUMBER(Charges!P197),Charges!P197&gt;=0),Charges!P197="S",Charges!P197="M",Charges!P197="L",Charges!P197="XL"),0,1)+IF(OR(Charges!Q197="",AND(ISNUMBER(Charges!Q197),Charges!Q197&gt;=0),Charges!Q197="S",Charges!Q197="M",Charges!Q197="L",Charges!Q197="XL"),0,1)+IF(OR(Charges!R197="",AND(ISNUMBER(Charges!R197),Charges!R197&gt;=0),Charges!R197="S",Charges!R197="M",Charges!R197="L",Charges!R197="XL"),0,1)</f>
        <v>0</v>
      </c>
      <c r="U197" t="n">
        <f>IF(AND(1&gt;Paramètres!$B$9,Charges!F197&lt;&gt;"",Charges!F197&lt;&gt;0),1,0)+IF(AND(2&gt;Paramètres!$B$9,Charges!G197&lt;&gt;"",Charges!G197&lt;&gt;0),1,0)+IF(AND(3&gt;Paramètres!$B$9,Charges!H197&lt;&gt;"",Charges!H197&lt;&gt;0),1,0)+IF(AND(4&gt;Paramètres!$B$9,Charges!I197&lt;&gt;"",Charges!I197&lt;&gt;0),1,0)+IF(AND(5&gt;Paramètres!$B$9,Charges!J197&lt;&gt;"",Charges!J197&lt;&gt;0),1,0)+IF(AND(6&gt;Paramètres!$B$9,Charges!K197&lt;&gt;"",Charges!K197&lt;&gt;0),1,0)+IF(AND(7&gt;Paramètres!$B$9,Charges!L197&lt;&gt;"",Charges!L197&lt;&gt;0),1,0)+IF(AND(8&gt;Paramètres!$B$9,Charges!M197&lt;&gt;"",Charges!M197&lt;&gt;0),1,0)+IF(AND(9&gt;Paramètres!$B$9,Charges!N197&lt;&gt;"",Charges!N197&lt;&gt;0),1,0)+IF(AND(10&gt;Paramètres!$B$9,Charges!O197&lt;&gt;"",Charges!O197&lt;&gt;0),1,0)+IF(AND(11&gt;Paramètres!$B$9,Charges!P197&lt;&gt;"",Charges!P197&lt;&gt;0),1,0)+IF(AND(12&gt;Paramètres!$B$9,Charges!Q197&lt;&gt;"",Charges!Q197&lt;&gt;0),1,0)+IF(AND(13&gt;Paramètres!$B$9,Charges!R197&lt;&gt;"",Charges!R197&lt;&gt;0),1,0)</f>
        <v>0</v>
      </c>
      <c r="V197" t="n">
        <f>IF(IFERROR(VLOOKUP(A197,'Projets'!$A$8:$Z$67,5,FALSE),"")="Engager",1,0)</f>
        <v>0</v>
      </c>
      <c r="W197" t="n">
        <f>IF(IFERROR(VLOOKUP(A197,'Projets'!$A$8:$Z$67,6,FALSE),"")="Engager",1,0)</f>
        <v>0</v>
      </c>
      <c r="X197" t="n">
        <f>E197*S197</f>
        <v>0</v>
      </c>
      <c r="Y197" t="n">
        <f>F197*S197</f>
        <v>0</v>
      </c>
      <c r="Z197" t="n">
        <f>G197*S197</f>
        <v>0</v>
      </c>
      <c r="AA197" t="n">
        <f>H197*S197</f>
        <v>0</v>
      </c>
      <c r="AB197" t="n">
        <f>I197*S197</f>
        <v>0</v>
      </c>
      <c r="AC197" t="n">
        <f>J197*S197</f>
        <v>0</v>
      </c>
      <c r="AD197" t="n">
        <f>K197*S197</f>
        <v>0</v>
      </c>
      <c r="AE197" t="n">
        <f>L197*S197</f>
        <v>0</v>
      </c>
      <c r="AF197" t="n">
        <f>M197*S197</f>
        <v>0</v>
      </c>
      <c r="AG197" t="n">
        <f>N197*S197</f>
        <v>0</v>
      </c>
      <c r="AH197" t="n">
        <f>O197*S197</f>
        <v>0</v>
      </c>
      <c r="AI197" t="n">
        <f>P197*S197</f>
        <v>0</v>
      </c>
      <c r="AJ197" t="n">
        <f>Q197*S197</f>
        <v>0</v>
      </c>
      <c r="AK197" t="n">
        <f>E197*V197</f>
        <v>0</v>
      </c>
      <c r="AL197" t="n">
        <f>F197*V197</f>
        <v>0</v>
      </c>
      <c r="AM197" t="n">
        <f>G197*V197</f>
        <v>0</v>
      </c>
      <c r="AN197" t="n">
        <f>H197*V197</f>
        <v>0</v>
      </c>
      <c r="AO197" t="n">
        <f>I197*V197</f>
        <v>0</v>
      </c>
      <c r="AP197" t="n">
        <f>J197*V197</f>
        <v>0</v>
      </c>
      <c r="AQ197" t="n">
        <f>K197*V197</f>
        <v>0</v>
      </c>
      <c r="AR197" t="n">
        <f>L197*V197</f>
        <v>0</v>
      </c>
      <c r="AS197" t="n">
        <f>M197*V197</f>
        <v>0</v>
      </c>
      <c r="AT197" t="n">
        <f>N197*V197</f>
        <v>0</v>
      </c>
      <c r="AU197" t="n">
        <f>O197*V197</f>
        <v>0</v>
      </c>
      <c r="AV197" t="n">
        <f>P197*V197</f>
        <v>0</v>
      </c>
      <c r="AW197" t="n">
        <f>Q197*V197</f>
        <v>0</v>
      </c>
      <c r="AX197" t="n">
        <f>E197*W197</f>
        <v>0</v>
      </c>
      <c r="AY197" t="n">
        <f>F197*W197</f>
        <v>0</v>
      </c>
      <c r="AZ197" t="n">
        <f>G197*W197</f>
        <v>0</v>
      </c>
      <c r="BA197" t="n">
        <f>H197*W197</f>
        <v>0</v>
      </c>
      <c r="BB197" t="n">
        <f>I197*W197</f>
        <v>0</v>
      </c>
      <c r="BC197" t="n">
        <f>J197*W197</f>
        <v>0</v>
      </c>
      <c r="BD197" t="n">
        <f>K197*W197</f>
        <v>0</v>
      </c>
      <c r="BE197" t="n">
        <f>L197*W197</f>
        <v>0</v>
      </c>
      <c r="BF197" t="n">
        <f>M197*W197</f>
        <v>0</v>
      </c>
      <c r="BG197" t="n">
        <f>N197*W197</f>
        <v>0</v>
      </c>
      <c r="BH197" t="n">
        <f>O197*W197</f>
        <v>0</v>
      </c>
      <c r="BI197" t="n">
        <f>P197*W197</f>
        <v>0</v>
      </c>
      <c r="BJ197" t="n">
        <f>Q197*W197</f>
        <v>0</v>
      </c>
    </row>
    <row r="198">
      <c r="A198" t="n">
        <f>Charges!A198</f>
        <v>0</v>
      </c>
      <c r="B198" t="n">
        <f>Charges!C198</f>
        <v>0</v>
      </c>
      <c r="C198" t="str">
        <f>Charges!D198</f>
        <v/>
      </c>
      <c r="E198" t="n">
        <f>IF(1&lt;=Paramètres!$B$9,MAX(0,IFERROR(N(IF(ISNUMBER(Charges!F198),MAX(0,Charges!F198),IFERROR(VLOOKUP(Charges!F198,Paramètres!$A$15:$B$18,2,FALSE),0))),0)),0)</f>
        <v>0</v>
      </c>
      <c r="F198" t="n">
        <f>IF(2&lt;=Paramètres!$B$9,MAX(0,IFERROR(N(IF(ISNUMBER(Charges!G198),MAX(0,Charges!G198),IFERROR(VLOOKUP(Charges!G198,Paramètres!$A$15:$B$18,2,FALSE),0))),0)),0)</f>
        <v>0</v>
      </c>
      <c r="G198" t="n">
        <f>IF(3&lt;=Paramètres!$B$9,MAX(0,IFERROR(N(IF(ISNUMBER(Charges!H198),MAX(0,Charges!H198),IFERROR(VLOOKUP(Charges!H198,Paramètres!$A$15:$B$18,2,FALSE),0))),0)),0)</f>
        <v>0</v>
      </c>
      <c r="H198" t="n">
        <f>IF(4&lt;=Paramètres!$B$9,MAX(0,IFERROR(N(IF(ISNUMBER(Charges!I198),MAX(0,Charges!I198),IFERROR(VLOOKUP(Charges!I198,Paramètres!$A$15:$B$18,2,FALSE),0))),0)),0)</f>
        <v>0</v>
      </c>
      <c r="I198" t="n">
        <f>IF(5&lt;=Paramètres!$B$9,MAX(0,IFERROR(N(IF(ISNUMBER(Charges!J198),MAX(0,Charges!J198),IFERROR(VLOOKUP(Charges!J198,Paramètres!$A$15:$B$18,2,FALSE),0))),0)),0)</f>
        <v>0</v>
      </c>
      <c r="J198" t="n">
        <f>IF(6&lt;=Paramètres!$B$9,MAX(0,IFERROR(N(IF(ISNUMBER(Charges!K198),MAX(0,Charges!K198),IFERROR(VLOOKUP(Charges!K198,Paramètres!$A$15:$B$18,2,FALSE),0))),0)),0)</f>
        <v>0</v>
      </c>
      <c r="K198" t="n">
        <f>IF(7&lt;=Paramètres!$B$9,MAX(0,IFERROR(N(IF(ISNUMBER(Charges!L198),MAX(0,Charges!L198),IFERROR(VLOOKUP(Charges!L198,Paramètres!$A$15:$B$18,2,FALSE),0))),0)),0)</f>
        <v>0</v>
      </c>
      <c r="L198" t="n">
        <f>IF(8&lt;=Paramètres!$B$9,MAX(0,IFERROR(N(IF(ISNUMBER(Charges!M198),MAX(0,Charges!M198),IFERROR(VLOOKUP(Charges!M198,Paramètres!$A$15:$B$18,2,FALSE),0))),0)),0)</f>
        <v>0</v>
      </c>
      <c r="M198" t="n">
        <f>IF(9&lt;=Paramètres!$B$9,MAX(0,IFERROR(N(IF(ISNUMBER(Charges!N198),MAX(0,Charges!N198),IFERROR(VLOOKUP(Charges!N198,Paramètres!$A$15:$B$18,2,FALSE),0))),0)),0)</f>
        <v>0</v>
      </c>
      <c r="N198" t="n">
        <f>IF(10&lt;=Paramètres!$B$9,MAX(0,IFERROR(N(IF(ISNUMBER(Charges!O198),MAX(0,Charges!O198),IFERROR(VLOOKUP(Charges!O198,Paramètres!$A$15:$B$18,2,FALSE),0))),0)),0)</f>
        <v>0</v>
      </c>
      <c r="O198" t="n">
        <f>IF(11&lt;=Paramètres!$B$9,MAX(0,IFERROR(N(IF(ISNUMBER(Charges!P198),MAX(0,Charges!P198),IFERROR(VLOOKUP(Charges!P198,Paramètres!$A$15:$B$18,2,FALSE),0))),0)),0)</f>
        <v>0</v>
      </c>
      <c r="P198" t="n">
        <f>IF(12&lt;=Paramètres!$B$9,MAX(0,IFERROR(N(IF(ISNUMBER(Charges!Q198),MAX(0,Charges!Q198),IFERROR(VLOOKUP(Charges!Q198,Paramètres!$A$15:$B$18,2,FALSE),0))),0)),0)</f>
        <v>0</v>
      </c>
      <c r="Q198" t="n">
        <f>IF(13&lt;=Paramètres!$B$9,MAX(0,IFERROR(N(IF(ISNUMBER(Charges!R198),MAX(0,Charges!R198),IFERROR(VLOOKUP(Charges!R198,Paramètres!$A$15:$B$18,2,FALSE),0))),0)),0)</f>
        <v>0</v>
      </c>
      <c r="R198" t="n">
        <f>SUM(E198:Q198)</f>
        <v>0</v>
      </c>
      <c r="S198" t="n">
        <f>IF(IFERROR(VLOOKUP(A198,'Projets'!$A$8:$Z$67,7,FALSE),"")="Engager",1,0)</f>
        <v>0</v>
      </c>
      <c r="T198" t="n">
        <f>IF(OR(Charges!F198="",AND(ISNUMBER(Charges!F198),Charges!F198&gt;=0),Charges!F198="S",Charges!F198="M",Charges!F198="L",Charges!F198="XL"),0,1)+IF(OR(Charges!G198="",AND(ISNUMBER(Charges!G198),Charges!G198&gt;=0),Charges!G198="S",Charges!G198="M",Charges!G198="L",Charges!G198="XL"),0,1)+IF(OR(Charges!H198="",AND(ISNUMBER(Charges!H198),Charges!H198&gt;=0),Charges!H198="S",Charges!H198="M",Charges!H198="L",Charges!H198="XL"),0,1)+IF(OR(Charges!I198="",AND(ISNUMBER(Charges!I198),Charges!I198&gt;=0),Charges!I198="S",Charges!I198="M",Charges!I198="L",Charges!I198="XL"),0,1)+IF(OR(Charges!J198="",AND(ISNUMBER(Charges!J198),Charges!J198&gt;=0),Charges!J198="S",Charges!J198="M",Charges!J198="L",Charges!J198="XL"),0,1)+IF(OR(Charges!K198="",AND(ISNUMBER(Charges!K198),Charges!K198&gt;=0),Charges!K198="S",Charges!K198="M",Charges!K198="L",Charges!K198="XL"),0,1)+IF(OR(Charges!L198="",AND(ISNUMBER(Charges!L198),Charges!L198&gt;=0),Charges!L198="S",Charges!L198="M",Charges!L198="L",Charges!L198="XL"),0,1)+IF(OR(Charges!M198="",AND(ISNUMBER(Charges!M198),Charges!M198&gt;=0),Charges!M198="S",Charges!M198="M",Charges!M198="L",Charges!M198="XL"),0,1)+IF(OR(Charges!N198="",AND(ISNUMBER(Charges!N198),Charges!N198&gt;=0),Charges!N198="S",Charges!N198="M",Charges!N198="L",Charges!N198="XL"),0,1)+IF(OR(Charges!O198="",AND(ISNUMBER(Charges!O198),Charges!O198&gt;=0),Charges!O198="S",Charges!O198="M",Charges!O198="L",Charges!O198="XL"),0,1)+IF(OR(Charges!P198="",AND(ISNUMBER(Charges!P198),Charges!P198&gt;=0),Charges!P198="S",Charges!P198="M",Charges!P198="L",Charges!P198="XL"),0,1)+IF(OR(Charges!Q198="",AND(ISNUMBER(Charges!Q198),Charges!Q198&gt;=0),Charges!Q198="S",Charges!Q198="M",Charges!Q198="L",Charges!Q198="XL"),0,1)+IF(OR(Charges!R198="",AND(ISNUMBER(Charges!R198),Charges!R198&gt;=0),Charges!R198="S",Charges!R198="M",Charges!R198="L",Charges!R198="XL"),0,1)</f>
        <v>0</v>
      </c>
      <c r="U198" t="n">
        <f>IF(AND(1&gt;Paramètres!$B$9,Charges!F198&lt;&gt;"",Charges!F198&lt;&gt;0),1,0)+IF(AND(2&gt;Paramètres!$B$9,Charges!G198&lt;&gt;"",Charges!G198&lt;&gt;0),1,0)+IF(AND(3&gt;Paramètres!$B$9,Charges!H198&lt;&gt;"",Charges!H198&lt;&gt;0),1,0)+IF(AND(4&gt;Paramètres!$B$9,Charges!I198&lt;&gt;"",Charges!I198&lt;&gt;0),1,0)+IF(AND(5&gt;Paramètres!$B$9,Charges!J198&lt;&gt;"",Charges!J198&lt;&gt;0),1,0)+IF(AND(6&gt;Paramètres!$B$9,Charges!K198&lt;&gt;"",Charges!K198&lt;&gt;0),1,0)+IF(AND(7&gt;Paramètres!$B$9,Charges!L198&lt;&gt;"",Charges!L198&lt;&gt;0),1,0)+IF(AND(8&gt;Paramètres!$B$9,Charges!M198&lt;&gt;"",Charges!M198&lt;&gt;0),1,0)+IF(AND(9&gt;Paramètres!$B$9,Charges!N198&lt;&gt;"",Charges!N198&lt;&gt;0),1,0)+IF(AND(10&gt;Paramètres!$B$9,Charges!O198&lt;&gt;"",Charges!O198&lt;&gt;0),1,0)+IF(AND(11&gt;Paramètres!$B$9,Charges!P198&lt;&gt;"",Charges!P198&lt;&gt;0),1,0)+IF(AND(12&gt;Paramètres!$B$9,Charges!Q198&lt;&gt;"",Charges!Q198&lt;&gt;0),1,0)+IF(AND(13&gt;Paramètres!$B$9,Charges!R198&lt;&gt;"",Charges!R198&lt;&gt;0),1,0)</f>
        <v>0</v>
      </c>
      <c r="V198" t="n">
        <f>IF(IFERROR(VLOOKUP(A198,'Projets'!$A$8:$Z$67,5,FALSE),"")="Engager",1,0)</f>
        <v>0</v>
      </c>
      <c r="W198" t="n">
        <f>IF(IFERROR(VLOOKUP(A198,'Projets'!$A$8:$Z$67,6,FALSE),"")="Engager",1,0)</f>
        <v>0</v>
      </c>
      <c r="X198" t="n">
        <f>E198*S198</f>
        <v>0</v>
      </c>
      <c r="Y198" t="n">
        <f>F198*S198</f>
        <v>0</v>
      </c>
      <c r="Z198" t="n">
        <f>G198*S198</f>
        <v>0</v>
      </c>
      <c r="AA198" t="n">
        <f>H198*S198</f>
        <v>0</v>
      </c>
      <c r="AB198" t="n">
        <f>I198*S198</f>
        <v>0</v>
      </c>
      <c r="AC198" t="n">
        <f>J198*S198</f>
        <v>0</v>
      </c>
      <c r="AD198" t="n">
        <f>K198*S198</f>
        <v>0</v>
      </c>
      <c r="AE198" t="n">
        <f>L198*S198</f>
        <v>0</v>
      </c>
      <c r="AF198" t="n">
        <f>M198*S198</f>
        <v>0</v>
      </c>
      <c r="AG198" t="n">
        <f>N198*S198</f>
        <v>0</v>
      </c>
      <c r="AH198" t="n">
        <f>O198*S198</f>
        <v>0</v>
      </c>
      <c r="AI198" t="n">
        <f>P198*S198</f>
        <v>0</v>
      </c>
      <c r="AJ198" t="n">
        <f>Q198*S198</f>
        <v>0</v>
      </c>
      <c r="AK198" t="n">
        <f>E198*V198</f>
        <v>0</v>
      </c>
      <c r="AL198" t="n">
        <f>F198*V198</f>
        <v>0</v>
      </c>
      <c r="AM198" t="n">
        <f>G198*V198</f>
        <v>0</v>
      </c>
      <c r="AN198" t="n">
        <f>H198*V198</f>
        <v>0</v>
      </c>
      <c r="AO198" t="n">
        <f>I198*V198</f>
        <v>0</v>
      </c>
      <c r="AP198" t="n">
        <f>J198*V198</f>
        <v>0</v>
      </c>
      <c r="AQ198" t="n">
        <f>K198*V198</f>
        <v>0</v>
      </c>
      <c r="AR198" t="n">
        <f>L198*V198</f>
        <v>0</v>
      </c>
      <c r="AS198" t="n">
        <f>M198*V198</f>
        <v>0</v>
      </c>
      <c r="AT198" t="n">
        <f>N198*V198</f>
        <v>0</v>
      </c>
      <c r="AU198" t="n">
        <f>O198*V198</f>
        <v>0</v>
      </c>
      <c r="AV198" t="n">
        <f>P198*V198</f>
        <v>0</v>
      </c>
      <c r="AW198" t="n">
        <f>Q198*V198</f>
        <v>0</v>
      </c>
      <c r="AX198" t="n">
        <f>E198*W198</f>
        <v>0</v>
      </c>
      <c r="AY198" t="n">
        <f>F198*W198</f>
        <v>0</v>
      </c>
      <c r="AZ198" t="n">
        <f>G198*W198</f>
        <v>0</v>
      </c>
      <c r="BA198" t="n">
        <f>H198*W198</f>
        <v>0</v>
      </c>
      <c r="BB198" t="n">
        <f>I198*W198</f>
        <v>0</v>
      </c>
      <c r="BC198" t="n">
        <f>J198*W198</f>
        <v>0</v>
      </c>
      <c r="BD198" t="n">
        <f>K198*W198</f>
        <v>0</v>
      </c>
      <c r="BE198" t="n">
        <f>L198*W198</f>
        <v>0</v>
      </c>
      <c r="BF198" t="n">
        <f>M198*W198</f>
        <v>0</v>
      </c>
      <c r="BG198" t="n">
        <f>N198*W198</f>
        <v>0</v>
      </c>
      <c r="BH198" t="n">
        <f>O198*W198</f>
        <v>0</v>
      </c>
      <c r="BI198" t="n">
        <f>P198*W198</f>
        <v>0</v>
      </c>
      <c r="BJ198" t="n">
        <f>Q198*W198</f>
        <v>0</v>
      </c>
    </row>
    <row r="199">
      <c r="A199" t="n">
        <f>Charges!A199</f>
        <v>0</v>
      </c>
      <c r="B199" t="n">
        <f>Charges!C199</f>
        <v>0</v>
      </c>
      <c r="C199" t="str">
        <f>Charges!D199</f>
        <v/>
      </c>
      <c r="E199" t="n">
        <f>IF(1&lt;=Paramètres!$B$9,MAX(0,IFERROR(N(IF(ISNUMBER(Charges!F199),MAX(0,Charges!F199),IFERROR(VLOOKUP(Charges!F199,Paramètres!$A$15:$B$18,2,FALSE),0))),0)),0)</f>
        <v>0</v>
      </c>
      <c r="F199" t="n">
        <f>IF(2&lt;=Paramètres!$B$9,MAX(0,IFERROR(N(IF(ISNUMBER(Charges!G199),MAX(0,Charges!G199),IFERROR(VLOOKUP(Charges!G199,Paramètres!$A$15:$B$18,2,FALSE),0))),0)),0)</f>
        <v>0</v>
      </c>
      <c r="G199" t="n">
        <f>IF(3&lt;=Paramètres!$B$9,MAX(0,IFERROR(N(IF(ISNUMBER(Charges!H199),MAX(0,Charges!H199),IFERROR(VLOOKUP(Charges!H199,Paramètres!$A$15:$B$18,2,FALSE),0))),0)),0)</f>
        <v>0</v>
      </c>
      <c r="H199" t="n">
        <f>IF(4&lt;=Paramètres!$B$9,MAX(0,IFERROR(N(IF(ISNUMBER(Charges!I199),MAX(0,Charges!I199),IFERROR(VLOOKUP(Charges!I199,Paramètres!$A$15:$B$18,2,FALSE),0))),0)),0)</f>
        <v>0</v>
      </c>
      <c r="I199" t="n">
        <f>IF(5&lt;=Paramètres!$B$9,MAX(0,IFERROR(N(IF(ISNUMBER(Charges!J199),MAX(0,Charges!J199),IFERROR(VLOOKUP(Charges!J199,Paramètres!$A$15:$B$18,2,FALSE),0))),0)),0)</f>
        <v>0</v>
      </c>
      <c r="J199" t="n">
        <f>IF(6&lt;=Paramètres!$B$9,MAX(0,IFERROR(N(IF(ISNUMBER(Charges!K199),MAX(0,Charges!K199),IFERROR(VLOOKUP(Charges!K199,Paramètres!$A$15:$B$18,2,FALSE),0))),0)),0)</f>
        <v>0</v>
      </c>
      <c r="K199" t="n">
        <f>IF(7&lt;=Paramètres!$B$9,MAX(0,IFERROR(N(IF(ISNUMBER(Charges!L199),MAX(0,Charges!L199),IFERROR(VLOOKUP(Charges!L199,Paramètres!$A$15:$B$18,2,FALSE),0))),0)),0)</f>
        <v>0</v>
      </c>
      <c r="L199" t="n">
        <f>IF(8&lt;=Paramètres!$B$9,MAX(0,IFERROR(N(IF(ISNUMBER(Charges!M199),MAX(0,Charges!M199),IFERROR(VLOOKUP(Charges!M199,Paramètres!$A$15:$B$18,2,FALSE),0))),0)),0)</f>
        <v>0</v>
      </c>
      <c r="M199" t="n">
        <f>IF(9&lt;=Paramètres!$B$9,MAX(0,IFERROR(N(IF(ISNUMBER(Charges!N199),MAX(0,Charges!N199),IFERROR(VLOOKUP(Charges!N199,Paramètres!$A$15:$B$18,2,FALSE),0))),0)),0)</f>
        <v>0</v>
      </c>
      <c r="N199" t="n">
        <f>IF(10&lt;=Paramètres!$B$9,MAX(0,IFERROR(N(IF(ISNUMBER(Charges!O199),MAX(0,Charges!O199),IFERROR(VLOOKUP(Charges!O199,Paramètres!$A$15:$B$18,2,FALSE),0))),0)),0)</f>
        <v>0</v>
      </c>
      <c r="O199" t="n">
        <f>IF(11&lt;=Paramètres!$B$9,MAX(0,IFERROR(N(IF(ISNUMBER(Charges!P199),MAX(0,Charges!P199),IFERROR(VLOOKUP(Charges!P199,Paramètres!$A$15:$B$18,2,FALSE),0))),0)),0)</f>
        <v>0</v>
      </c>
      <c r="P199" t="n">
        <f>IF(12&lt;=Paramètres!$B$9,MAX(0,IFERROR(N(IF(ISNUMBER(Charges!Q199),MAX(0,Charges!Q199),IFERROR(VLOOKUP(Charges!Q199,Paramètres!$A$15:$B$18,2,FALSE),0))),0)),0)</f>
        <v>0</v>
      </c>
      <c r="Q199" t="n">
        <f>IF(13&lt;=Paramètres!$B$9,MAX(0,IFERROR(N(IF(ISNUMBER(Charges!R199),MAX(0,Charges!R199),IFERROR(VLOOKUP(Charges!R199,Paramètres!$A$15:$B$18,2,FALSE),0))),0)),0)</f>
        <v>0</v>
      </c>
      <c r="R199" t="n">
        <f>SUM(E199:Q199)</f>
        <v>0</v>
      </c>
      <c r="S199" t="n">
        <f>IF(IFERROR(VLOOKUP(A199,'Projets'!$A$8:$Z$67,7,FALSE),"")="Engager",1,0)</f>
        <v>0</v>
      </c>
      <c r="T199" t="n">
        <f>IF(OR(Charges!F199="",AND(ISNUMBER(Charges!F199),Charges!F199&gt;=0),Charges!F199="S",Charges!F199="M",Charges!F199="L",Charges!F199="XL"),0,1)+IF(OR(Charges!G199="",AND(ISNUMBER(Charges!G199),Charges!G199&gt;=0),Charges!G199="S",Charges!G199="M",Charges!G199="L",Charges!G199="XL"),0,1)+IF(OR(Charges!H199="",AND(ISNUMBER(Charges!H199),Charges!H199&gt;=0),Charges!H199="S",Charges!H199="M",Charges!H199="L",Charges!H199="XL"),0,1)+IF(OR(Charges!I199="",AND(ISNUMBER(Charges!I199),Charges!I199&gt;=0),Charges!I199="S",Charges!I199="M",Charges!I199="L",Charges!I199="XL"),0,1)+IF(OR(Charges!J199="",AND(ISNUMBER(Charges!J199),Charges!J199&gt;=0),Charges!J199="S",Charges!J199="M",Charges!J199="L",Charges!J199="XL"),0,1)+IF(OR(Charges!K199="",AND(ISNUMBER(Charges!K199),Charges!K199&gt;=0),Charges!K199="S",Charges!K199="M",Charges!K199="L",Charges!K199="XL"),0,1)+IF(OR(Charges!L199="",AND(ISNUMBER(Charges!L199),Charges!L199&gt;=0),Charges!L199="S",Charges!L199="M",Charges!L199="L",Charges!L199="XL"),0,1)+IF(OR(Charges!M199="",AND(ISNUMBER(Charges!M199),Charges!M199&gt;=0),Charges!M199="S",Charges!M199="M",Charges!M199="L",Charges!M199="XL"),0,1)+IF(OR(Charges!N199="",AND(ISNUMBER(Charges!N199),Charges!N199&gt;=0),Charges!N199="S",Charges!N199="M",Charges!N199="L",Charges!N199="XL"),0,1)+IF(OR(Charges!O199="",AND(ISNUMBER(Charges!O199),Charges!O199&gt;=0),Charges!O199="S",Charges!O199="M",Charges!O199="L",Charges!O199="XL"),0,1)+IF(OR(Charges!P199="",AND(ISNUMBER(Charges!P199),Charges!P199&gt;=0),Charges!P199="S",Charges!P199="M",Charges!P199="L",Charges!P199="XL"),0,1)+IF(OR(Charges!Q199="",AND(ISNUMBER(Charges!Q199),Charges!Q199&gt;=0),Charges!Q199="S",Charges!Q199="M",Charges!Q199="L",Charges!Q199="XL"),0,1)+IF(OR(Charges!R199="",AND(ISNUMBER(Charges!R199),Charges!R199&gt;=0),Charges!R199="S",Charges!R199="M",Charges!R199="L",Charges!R199="XL"),0,1)</f>
        <v>0</v>
      </c>
      <c r="U199" t="n">
        <f>IF(AND(1&gt;Paramètres!$B$9,Charges!F199&lt;&gt;"",Charges!F199&lt;&gt;0),1,0)+IF(AND(2&gt;Paramètres!$B$9,Charges!G199&lt;&gt;"",Charges!G199&lt;&gt;0),1,0)+IF(AND(3&gt;Paramètres!$B$9,Charges!H199&lt;&gt;"",Charges!H199&lt;&gt;0),1,0)+IF(AND(4&gt;Paramètres!$B$9,Charges!I199&lt;&gt;"",Charges!I199&lt;&gt;0),1,0)+IF(AND(5&gt;Paramètres!$B$9,Charges!J199&lt;&gt;"",Charges!J199&lt;&gt;0),1,0)+IF(AND(6&gt;Paramètres!$B$9,Charges!K199&lt;&gt;"",Charges!K199&lt;&gt;0),1,0)+IF(AND(7&gt;Paramètres!$B$9,Charges!L199&lt;&gt;"",Charges!L199&lt;&gt;0),1,0)+IF(AND(8&gt;Paramètres!$B$9,Charges!M199&lt;&gt;"",Charges!M199&lt;&gt;0),1,0)+IF(AND(9&gt;Paramètres!$B$9,Charges!N199&lt;&gt;"",Charges!N199&lt;&gt;0),1,0)+IF(AND(10&gt;Paramètres!$B$9,Charges!O199&lt;&gt;"",Charges!O199&lt;&gt;0),1,0)+IF(AND(11&gt;Paramètres!$B$9,Charges!P199&lt;&gt;"",Charges!P199&lt;&gt;0),1,0)+IF(AND(12&gt;Paramètres!$B$9,Charges!Q199&lt;&gt;"",Charges!Q199&lt;&gt;0),1,0)+IF(AND(13&gt;Paramètres!$B$9,Charges!R199&lt;&gt;"",Charges!R199&lt;&gt;0),1,0)</f>
        <v>0</v>
      </c>
      <c r="V199" t="n">
        <f>IF(IFERROR(VLOOKUP(A199,'Projets'!$A$8:$Z$67,5,FALSE),"")="Engager",1,0)</f>
        <v>0</v>
      </c>
      <c r="W199" t="n">
        <f>IF(IFERROR(VLOOKUP(A199,'Projets'!$A$8:$Z$67,6,FALSE),"")="Engager",1,0)</f>
        <v>0</v>
      </c>
      <c r="X199" t="n">
        <f>E199*S199</f>
        <v>0</v>
      </c>
      <c r="Y199" t="n">
        <f>F199*S199</f>
        <v>0</v>
      </c>
      <c r="Z199" t="n">
        <f>G199*S199</f>
        <v>0</v>
      </c>
      <c r="AA199" t="n">
        <f>H199*S199</f>
        <v>0</v>
      </c>
      <c r="AB199" t="n">
        <f>I199*S199</f>
        <v>0</v>
      </c>
      <c r="AC199" t="n">
        <f>J199*S199</f>
        <v>0</v>
      </c>
      <c r="AD199" t="n">
        <f>K199*S199</f>
        <v>0</v>
      </c>
      <c r="AE199" t="n">
        <f>L199*S199</f>
        <v>0</v>
      </c>
      <c r="AF199" t="n">
        <f>M199*S199</f>
        <v>0</v>
      </c>
      <c r="AG199" t="n">
        <f>N199*S199</f>
        <v>0</v>
      </c>
      <c r="AH199" t="n">
        <f>O199*S199</f>
        <v>0</v>
      </c>
      <c r="AI199" t="n">
        <f>P199*S199</f>
        <v>0</v>
      </c>
      <c r="AJ199" t="n">
        <f>Q199*S199</f>
        <v>0</v>
      </c>
      <c r="AK199" t="n">
        <f>E199*V199</f>
        <v>0</v>
      </c>
      <c r="AL199" t="n">
        <f>F199*V199</f>
        <v>0</v>
      </c>
      <c r="AM199" t="n">
        <f>G199*V199</f>
        <v>0</v>
      </c>
      <c r="AN199" t="n">
        <f>H199*V199</f>
        <v>0</v>
      </c>
      <c r="AO199" t="n">
        <f>I199*V199</f>
        <v>0</v>
      </c>
      <c r="AP199" t="n">
        <f>J199*V199</f>
        <v>0</v>
      </c>
      <c r="AQ199" t="n">
        <f>K199*V199</f>
        <v>0</v>
      </c>
      <c r="AR199" t="n">
        <f>L199*V199</f>
        <v>0</v>
      </c>
      <c r="AS199" t="n">
        <f>M199*V199</f>
        <v>0</v>
      </c>
      <c r="AT199" t="n">
        <f>N199*V199</f>
        <v>0</v>
      </c>
      <c r="AU199" t="n">
        <f>O199*V199</f>
        <v>0</v>
      </c>
      <c r="AV199" t="n">
        <f>P199*V199</f>
        <v>0</v>
      </c>
      <c r="AW199" t="n">
        <f>Q199*V199</f>
        <v>0</v>
      </c>
      <c r="AX199" t="n">
        <f>E199*W199</f>
        <v>0</v>
      </c>
      <c r="AY199" t="n">
        <f>F199*W199</f>
        <v>0</v>
      </c>
      <c r="AZ199" t="n">
        <f>G199*W199</f>
        <v>0</v>
      </c>
      <c r="BA199" t="n">
        <f>H199*W199</f>
        <v>0</v>
      </c>
      <c r="BB199" t="n">
        <f>I199*W199</f>
        <v>0</v>
      </c>
      <c r="BC199" t="n">
        <f>J199*W199</f>
        <v>0</v>
      </c>
      <c r="BD199" t="n">
        <f>K199*W199</f>
        <v>0</v>
      </c>
      <c r="BE199" t="n">
        <f>L199*W199</f>
        <v>0</v>
      </c>
      <c r="BF199" t="n">
        <f>M199*W199</f>
        <v>0</v>
      </c>
      <c r="BG199" t="n">
        <f>N199*W199</f>
        <v>0</v>
      </c>
      <c r="BH199" t="n">
        <f>O199*W199</f>
        <v>0</v>
      </c>
      <c r="BI199" t="n">
        <f>P199*W199</f>
        <v>0</v>
      </c>
      <c r="BJ199" t="n">
        <f>Q199*W199</f>
        <v>0</v>
      </c>
    </row>
    <row r="200">
      <c r="A200" t="n">
        <f>Charges!A200</f>
        <v>0</v>
      </c>
      <c r="B200" t="n">
        <f>Charges!C200</f>
        <v>0</v>
      </c>
      <c r="C200" t="str">
        <f>Charges!D200</f>
        <v/>
      </c>
      <c r="E200" t="n">
        <f>IF(1&lt;=Paramètres!$B$9,MAX(0,IFERROR(N(IF(ISNUMBER(Charges!F200),MAX(0,Charges!F200),IFERROR(VLOOKUP(Charges!F200,Paramètres!$A$15:$B$18,2,FALSE),0))),0)),0)</f>
        <v>0</v>
      </c>
      <c r="F200" t="n">
        <f>IF(2&lt;=Paramètres!$B$9,MAX(0,IFERROR(N(IF(ISNUMBER(Charges!G200),MAX(0,Charges!G200),IFERROR(VLOOKUP(Charges!G200,Paramètres!$A$15:$B$18,2,FALSE),0))),0)),0)</f>
        <v>0</v>
      </c>
      <c r="G200" t="n">
        <f>IF(3&lt;=Paramètres!$B$9,MAX(0,IFERROR(N(IF(ISNUMBER(Charges!H200),MAX(0,Charges!H200),IFERROR(VLOOKUP(Charges!H200,Paramètres!$A$15:$B$18,2,FALSE),0))),0)),0)</f>
        <v>0</v>
      </c>
      <c r="H200" t="n">
        <f>IF(4&lt;=Paramètres!$B$9,MAX(0,IFERROR(N(IF(ISNUMBER(Charges!I200),MAX(0,Charges!I200),IFERROR(VLOOKUP(Charges!I200,Paramètres!$A$15:$B$18,2,FALSE),0))),0)),0)</f>
        <v>0</v>
      </c>
      <c r="I200" t="n">
        <f>IF(5&lt;=Paramètres!$B$9,MAX(0,IFERROR(N(IF(ISNUMBER(Charges!J200),MAX(0,Charges!J200),IFERROR(VLOOKUP(Charges!J200,Paramètres!$A$15:$B$18,2,FALSE),0))),0)),0)</f>
        <v>0</v>
      </c>
      <c r="J200" t="n">
        <f>IF(6&lt;=Paramètres!$B$9,MAX(0,IFERROR(N(IF(ISNUMBER(Charges!K200),MAX(0,Charges!K200),IFERROR(VLOOKUP(Charges!K200,Paramètres!$A$15:$B$18,2,FALSE),0))),0)),0)</f>
        <v>0</v>
      </c>
      <c r="K200" t="n">
        <f>IF(7&lt;=Paramètres!$B$9,MAX(0,IFERROR(N(IF(ISNUMBER(Charges!L200),MAX(0,Charges!L200),IFERROR(VLOOKUP(Charges!L200,Paramètres!$A$15:$B$18,2,FALSE),0))),0)),0)</f>
        <v>0</v>
      </c>
      <c r="L200" t="n">
        <f>IF(8&lt;=Paramètres!$B$9,MAX(0,IFERROR(N(IF(ISNUMBER(Charges!M200),MAX(0,Charges!M200),IFERROR(VLOOKUP(Charges!M200,Paramètres!$A$15:$B$18,2,FALSE),0))),0)),0)</f>
        <v>0</v>
      </c>
      <c r="M200" t="n">
        <f>IF(9&lt;=Paramètres!$B$9,MAX(0,IFERROR(N(IF(ISNUMBER(Charges!N200),MAX(0,Charges!N200),IFERROR(VLOOKUP(Charges!N200,Paramètres!$A$15:$B$18,2,FALSE),0))),0)),0)</f>
        <v>0</v>
      </c>
      <c r="N200" t="n">
        <f>IF(10&lt;=Paramètres!$B$9,MAX(0,IFERROR(N(IF(ISNUMBER(Charges!O200),MAX(0,Charges!O200),IFERROR(VLOOKUP(Charges!O200,Paramètres!$A$15:$B$18,2,FALSE),0))),0)),0)</f>
        <v>0</v>
      </c>
      <c r="O200" t="n">
        <f>IF(11&lt;=Paramètres!$B$9,MAX(0,IFERROR(N(IF(ISNUMBER(Charges!P200),MAX(0,Charges!P200),IFERROR(VLOOKUP(Charges!P200,Paramètres!$A$15:$B$18,2,FALSE),0))),0)),0)</f>
        <v>0</v>
      </c>
      <c r="P200" t="n">
        <f>IF(12&lt;=Paramètres!$B$9,MAX(0,IFERROR(N(IF(ISNUMBER(Charges!Q200),MAX(0,Charges!Q200),IFERROR(VLOOKUP(Charges!Q200,Paramètres!$A$15:$B$18,2,FALSE),0))),0)),0)</f>
        <v>0</v>
      </c>
      <c r="Q200" t="n">
        <f>IF(13&lt;=Paramètres!$B$9,MAX(0,IFERROR(N(IF(ISNUMBER(Charges!R200),MAX(0,Charges!R200),IFERROR(VLOOKUP(Charges!R200,Paramètres!$A$15:$B$18,2,FALSE),0))),0)),0)</f>
        <v>0</v>
      </c>
      <c r="R200" t="n">
        <f>SUM(E200:Q200)</f>
        <v>0</v>
      </c>
      <c r="S200" t="n">
        <f>IF(IFERROR(VLOOKUP(A200,'Projets'!$A$8:$Z$67,7,FALSE),"")="Engager",1,0)</f>
        <v>0</v>
      </c>
      <c r="T200" t="n">
        <f>IF(OR(Charges!F200="",AND(ISNUMBER(Charges!F200),Charges!F200&gt;=0),Charges!F200="S",Charges!F200="M",Charges!F200="L",Charges!F200="XL"),0,1)+IF(OR(Charges!G200="",AND(ISNUMBER(Charges!G200),Charges!G200&gt;=0),Charges!G200="S",Charges!G200="M",Charges!G200="L",Charges!G200="XL"),0,1)+IF(OR(Charges!H200="",AND(ISNUMBER(Charges!H200),Charges!H200&gt;=0),Charges!H200="S",Charges!H200="M",Charges!H200="L",Charges!H200="XL"),0,1)+IF(OR(Charges!I200="",AND(ISNUMBER(Charges!I200),Charges!I200&gt;=0),Charges!I200="S",Charges!I200="M",Charges!I200="L",Charges!I200="XL"),0,1)+IF(OR(Charges!J200="",AND(ISNUMBER(Charges!J200),Charges!J200&gt;=0),Charges!J200="S",Charges!J200="M",Charges!J200="L",Charges!J200="XL"),0,1)+IF(OR(Charges!K200="",AND(ISNUMBER(Charges!K200),Charges!K200&gt;=0),Charges!K200="S",Charges!K200="M",Charges!K200="L",Charges!K200="XL"),0,1)+IF(OR(Charges!L200="",AND(ISNUMBER(Charges!L200),Charges!L200&gt;=0),Charges!L200="S",Charges!L200="M",Charges!L200="L",Charges!L200="XL"),0,1)+IF(OR(Charges!M200="",AND(ISNUMBER(Charges!M200),Charges!M200&gt;=0),Charges!M200="S",Charges!M200="M",Charges!M200="L",Charges!M200="XL"),0,1)+IF(OR(Charges!N200="",AND(ISNUMBER(Charges!N200),Charges!N200&gt;=0),Charges!N200="S",Charges!N200="M",Charges!N200="L",Charges!N200="XL"),0,1)+IF(OR(Charges!O200="",AND(ISNUMBER(Charges!O200),Charges!O200&gt;=0),Charges!O200="S",Charges!O200="M",Charges!O200="L",Charges!O200="XL"),0,1)+IF(OR(Charges!P200="",AND(ISNUMBER(Charges!P200),Charges!P200&gt;=0),Charges!P200="S",Charges!P200="M",Charges!P200="L",Charges!P200="XL"),0,1)+IF(OR(Charges!Q200="",AND(ISNUMBER(Charges!Q200),Charges!Q200&gt;=0),Charges!Q200="S",Charges!Q200="M",Charges!Q200="L",Charges!Q200="XL"),0,1)+IF(OR(Charges!R200="",AND(ISNUMBER(Charges!R200),Charges!R200&gt;=0),Charges!R200="S",Charges!R200="M",Charges!R200="L",Charges!R200="XL"),0,1)</f>
        <v>0</v>
      </c>
      <c r="U200" t="n">
        <f>IF(AND(1&gt;Paramètres!$B$9,Charges!F200&lt;&gt;"",Charges!F200&lt;&gt;0),1,0)+IF(AND(2&gt;Paramètres!$B$9,Charges!G200&lt;&gt;"",Charges!G200&lt;&gt;0),1,0)+IF(AND(3&gt;Paramètres!$B$9,Charges!H200&lt;&gt;"",Charges!H200&lt;&gt;0),1,0)+IF(AND(4&gt;Paramètres!$B$9,Charges!I200&lt;&gt;"",Charges!I200&lt;&gt;0),1,0)+IF(AND(5&gt;Paramètres!$B$9,Charges!J200&lt;&gt;"",Charges!J200&lt;&gt;0),1,0)+IF(AND(6&gt;Paramètres!$B$9,Charges!K200&lt;&gt;"",Charges!K200&lt;&gt;0),1,0)+IF(AND(7&gt;Paramètres!$B$9,Charges!L200&lt;&gt;"",Charges!L200&lt;&gt;0),1,0)+IF(AND(8&gt;Paramètres!$B$9,Charges!M200&lt;&gt;"",Charges!M200&lt;&gt;0),1,0)+IF(AND(9&gt;Paramètres!$B$9,Charges!N200&lt;&gt;"",Charges!N200&lt;&gt;0),1,0)+IF(AND(10&gt;Paramètres!$B$9,Charges!O200&lt;&gt;"",Charges!O200&lt;&gt;0),1,0)+IF(AND(11&gt;Paramètres!$B$9,Charges!P200&lt;&gt;"",Charges!P200&lt;&gt;0),1,0)+IF(AND(12&gt;Paramètres!$B$9,Charges!Q200&lt;&gt;"",Charges!Q200&lt;&gt;0),1,0)+IF(AND(13&gt;Paramètres!$B$9,Charges!R200&lt;&gt;"",Charges!R200&lt;&gt;0),1,0)</f>
        <v>0</v>
      </c>
      <c r="V200" t="n">
        <f>IF(IFERROR(VLOOKUP(A200,'Projets'!$A$8:$Z$67,5,FALSE),"")="Engager",1,0)</f>
        <v>0</v>
      </c>
      <c r="W200" t="n">
        <f>IF(IFERROR(VLOOKUP(A200,'Projets'!$A$8:$Z$67,6,FALSE),"")="Engager",1,0)</f>
        <v>0</v>
      </c>
      <c r="X200" t="n">
        <f>E200*S200</f>
        <v>0</v>
      </c>
      <c r="Y200" t="n">
        <f>F200*S200</f>
        <v>0</v>
      </c>
      <c r="Z200" t="n">
        <f>G200*S200</f>
        <v>0</v>
      </c>
      <c r="AA200" t="n">
        <f>H200*S200</f>
        <v>0</v>
      </c>
      <c r="AB200" t="n">
        <f>I200*S200</f>
        <v>0</v>
      </c>
      <c r="AC200" t="n">
        <f>J200*S200</f>
        <v>0</v>
      </c>
      <c r="AD200" t="n">
        <f>K200*S200</f>
        <v>0</v>
      </c>
      <c r="AE200" t="n">
        <f>L200*S200</f>
        <v>0</v>
      </c>
      <c r="AF200" t="n">
        <f>M200*S200</f>
        <v>0</v>
      </c>
      <c r="AG200" t="n">
        <f>N200*S200</f>
        <v>0</v>
      </c>
      <c r="AH200" t="n">
        <f>O200*S200</f>
        <v>0</v>
      </c>
      <c r="AI200" t="n">
        <f>P200*S200</f>
        <v>0</v>
      </c>
      <c r="AJ200" t="n">
        <f>Q200*S200</f>
        <v>0</v>
      </c>
      <c r="AK200" t="n">
        <f>E200*V200</f>
        <v>0</v>
      </c>
      <c r="AL200" t="n">
        <f>F200*V200</f>
        <v>0</v>
      </c>
      <c r="AM200" t="n">
        <f>G200*V200</f>
        <v>0</v>
      </c>
      <c r="AN200" t="n">
        <f>H200*V200</f>
        <v>0</v>
      </c>
      <c r="AO200" t="n">
        <f>I200*V200</f>
        <v>0</v>
      </c>
      <c r="AP200" t="n">
        <f>J200*V200</f>
        <v>0</v>
      </c>
      <c r="AQ200" t="n">
        <f>K200*V200</f>
        <v>0</v>
      </c>
      <c r="AR200" t="n">
        <f>L200*V200</f>
        <v>0</v>
      </c>
      <c r="AS200" t="n">
        <f>M200*V200</f>
        <v>0</v>
      </c>
      <c r="AT200" t="n">
        <f>N200*V200</f>
        <v>0</v>
      </c>
      <c r="AU200" t="n">
        <f>O200*V200</f>
        <v>0</v>
      </c>
      <c r="AV200" t="n">
        <f>P200*V200</f>
        <v>0</v>
      </c>
      <c r="AW200" t="n">
        <f>Q200*V200</f>
        <v>0</v>
      </c>
      <c r="AX200" t="n">
        <f>E200*W200</f>
        <v>0</v>
      </c>
      <c r="AY200" t="n">
        <f>F200*W200</f>
        <v>0</v>
      </c>
      <c r="AZ200" t="n">
        <f>G200*W200</f>
        <v>0</v>
      </c>
      <c r="BA200" t="n">
        <f>H200*W200</f>
        <v>0</v>
      </c>
      <c r="BB200" t="n">
        <f>I200*W200</f>
        <v>0</v>
      </c>
      <c r="BC200" t="n">
        <f>J200*W200</f>
        <v>0</v>
      </c>
      <c r="BD200" t="n">
        <f>K200*W200</f>
        <v>0</v>
      </c>
      <c r="BE200" t="n">
        <f>L200*W200</f>
        <v>0</v>
      </c>
      <c r="BF200" t="n">
        <f>M200*W200</f>
        <v>0</v>
      </c>
      <c r="BG200" t="n">
        <f>N200*W200</f>
        <v>0</v>
      </c>
      <c r="BH200" t="n">
        <f>O200*W200</f>
        <v>0</v>
      </c>
      <c r="BI200" t="n">
        <f>P200*W200</f>
        <v>0</v>
      </c>
      <c r="BJ200" t="n">
        <f>Q200*W200</f>
        <v>0</v>
      </c>
    </row>
    <row r="201">
      <c r="A201" t="n">
        <f>Charges!A201</f>
        <v>0</v>
      </c>
      <c r="B201" t="n">
        <f>Charges!C201</f>
        <v>0</v>
      </c>
      <c r="C201" t="str">
        <f>Charges!D201</f>
        <v/>
      </c>
      <c r="E201" t="n">
        <f>IF(1&lt;=Paramètres!$B$9,MAX(0,IFERROR(N(IF(ISNUMBER(Charges!F201),MAX(0,Charges!F201),IFERROR(VLOOKUP(Charges!F201,Paramètres!$A$15:$B$18,2,FALSE),0))),0)),0)</f>
        <v>0</v>
      </c>
      <c r="F201" t="n">
        <f>IF(2&lt;=Paramètres!$B$9,MAX(0,IFERROR(N(IF(ISNUMBER(Charges!G201),MAX(0,Charges!G201),IFERROR(VLOOKUP(Charges!G201,Paramètres!$A$15:$B$18,2,FALSE),0))),0)),0)</f>
        <v>0</v>
      </c>
      <c r="G201" t="n">
        <f>IF(3&lt;=Paramètres!$B$9,MAX(0,IFERROR(N(IF(ISNUMBER(Charges!H201),MAX(0,Charges!H201),IFERROR(VLOOKUP(Charges!H201,Paramètres!$A$15:$B$18,2,FALSE),0))),0)),0)</f>
        <v>0</v>
      </c>
      <c r="H201" t="n">
        <f>IF(4&lt;=Paramètres!$B$9,MAX(0,IFERROR(N(IF(ISNUMBER(Charges!I201),MAX(0,Charges!I201),IFERROR(VLOOKUP(Charges!I201,Paramètres!$A$15:$B$18,2,FALSE),0))),0)),0)</f>
        <v>0</v>
      </c>
      <c r="I201" t="n">
        <f>IF(5&lt;=Paramètres!$B$9,MAX(0,IFERROR(N(IF(ISNUMBER(Charges!J201),MAX(0,Charges!J201),IFERROR(VLOOKUP(Charges!J201,Paramètres!$A$15:$B$18,2,FALSE),0))),0)),0)</f>
        <v>0</v>
      </c>
      <c r="J201" t="n">
        <f>IF(6&lt;=Paramètres!$B$9,MAX(0,IFERROR(N(IF(ISNUMBER(Charges!K201),MAX(0,Charges!K201),IFERROR(VLOOKUP(Charges!K201,Paramètres!$A$15:$B$18,2,FALSE),0))),0)),0)</f>
        <v>0</v>
      </c>
      <c r="K201" t="n">
        <f>IF(7&lt;=Paramètres!$B$9,MAX(0,IFERROR(N(IF(ISNUMBER(Charges!L201),MAX(0,Charges!L201),IFERROR(VLOOKUP(Charges!L201,Paramètres!$A$15:$B$18,2,FALSE),0))),0)),0)</f>
        <v>0</v>
      </c>
      <c r="L201" t="n">
        <f>IF(8&lt;=Paramètres!$B$9,MAX(0,IFERROR(N(IF(ISNUMBER(Charges!M201),MAX(0,Charges!M201),IFERROR(VLOOKUP(Charges!M201,Paramètres!$A$15:$B$18,2,FALSE),0))),0)),0)</f>
        <v>0</v>
      </c>
      <c r="M201" t="n">
        <f>IF(9&lt;=Paramètres!$B$9,MAX(0,IFERROR(N(IF(ISNUMBER(Charges!N201),MAX(0,Charges!N201),IFERROR(VLOOKUP(Charges!N201,Paramètres!$A$15:$B$18,2,FALSE),0))),0)),0)</f>
        <v>0</v>
      </c>
      <c r="N201" t="n">
        <f>IF(10&lt;=Paramètres!$B$9,MAX(0,IFERROR(N(IF(ISNUMBER(Charges!O201),MAX(0,Charges!O201),IFERROR(VLOOKUP(Charges!O201,Paramètres!$A$15:$B$18,2,FALSE),0))),0)),0)</f>
        <v>0</v>
      </c>
      <c r="O201" t="n">
        <f>IF(11&lt;=Paramètres!$B$9,MAX(0,IFERROR(N(IF(ISNUMBER(Charges!P201),MAX(0,Charges!P201),IFERROR(VLOOKUP(Charges!P201,Paramètres!$A$15:$B$18,2,FALSE),0))),0)),0)</f>
        <v>0</v>
      </c>
      <c r="P201" t="n">
        <f>IF(12&lt;=Paramètres!$B$9,MAX(0,IFERROR(N(IF(ISNUMBER(Charges!Q201),MAX(0,Charges!Q201),IFERROR(VLOOKUP(Charges!Q201,Paramètres!$A$15:$B$18,2,FALSE),0))),0)),0)</f>
        <v>0</v>
      </c>
      <c r="Q201" t="n">
        <f>IF(13&lt;=Paramètres!$B$9,MAX(0,IFERROR(N(IF(ISNUMBER(Charges!R201),MAX(0,Charges!R201),IFERROR(VLOOKUP(Charges!R201,Paramètres!$A$15:$B$18,2,FALSE),0))),0)),0)</f>
        <v>0</v>
      </c>
      <c r="R201" t="n">
        <f>SUM(E201:Q201)</f>
        <v>0</v>
      </c>
      <c r="S201" t="n">
        <f>IF(IFERROR(VLOOKUP(A201,'Projets'!$A$8:$Z$67,7,FALSE),"")="Engager",1,0)</f>
        <v>0</v>
      </c>
      <c r="T201" t="n">
        <f>IF(OR(Charges!F201="",AND(ISNUMBER(Charges!F201),Charges!F201&gt;=0),Charges!F201="S",Charges!F201="M",Charges!F201="L",Charges!F201="XL"),0,1)+IF(OR(Charges!G201="",AND(ISNUMBER(Charges!G201),Charges!G201&gt;=0),Charges!G201="S",Charges!G201="M",Charges!G201="L",Charges!G201="XL"),0,1)+IF(OR(Charges!H201="",AND(ISNUMBER(Charges!H201),Charges!H201&gt;=0),Charges!H201="S",Charges!H201="M",Charges!H201="L",Charges!H201="XL"),0,1)+IF(OR(Charges!I201="",AND(ISNUMBER(Charges!I201),Charges!I201&gt;=0),Charges!I201="S",Charges!I201="M",Charges!I201="L",Charges!I201="XL"),0,1)+IF(OR(Charges!J201="",AND(ISNUMBER(Charges!J201),Charges!J201&gt;=0),Charges!J201="S",Charges!J201="M",Charges!J201="L",Charges!J201="XL"),0,1)+IF(OR(Charges!K201="",AND(ISNUMBER(Charges!K201),Charges!K201&gt;=0),Charges!K201="S",Charges!K201="M",Charges!K201="L",Charges!K201="XL"),0,1)+IF(OR(Charges!L201="",AND(ISNUMBER(Charges!L201),Charges!L201&gt;=0),Charges!L201="S",Charges!L201="M",Charges!L201="L",Charges!L201="XL"),0,1)+IF(OR(Charges!M201="",AND(ISNUMBER(Charges!M201),Charges!M201&gt;=0),Charges!M201="S",Charges!M201="M",Charges!M201="L",Charges!M201="XL"),0,1)+IF(OR(Charges!N201="",AND(ISNUMBER(Charges!N201),Charges!N201&gt;=0),Charges!N201="S",Charges!N201="M",Charges!N201="L",Charges!N201="XL"),0,1)+IF(OR(Charges!O201="",AND(ISNUMBER(Charges!O201),Charges!O201&gt;=0),Charges!O201="S",Charges!O201="M",Charges!O201="L",Charges!O201="XL"),0,1)+IF(OR(Charges!P201="",AND(ISNUMBER(Charges!P201),Charges!P201&gt;=0),Charges!P201="S",Charges!P201="M",Charges!P201="L",Charges!P201="XL"),0,1)+IF(OR(Charges!Q201="",AND(ISNUMBER(Charges!Q201),Charges!Q201&gt;=0),Charges!Q201="S",Charges!Q201="M",Charges!Q201="L",Charges!Q201="XL"),0,1)+IF(OR(Charges!R201="",AND(ISNUMBER(Charges!R201),Charges!R201&gt;=0),Charges!R201="S",Charges!R201="M",Charges!R201="L",Charges!R201="XL"),0,1)</f>
        <v>0</v>
      </c>
      <c r="U201" t="n">
        <f>IF(AND(1&gt;Paramètres!$B$9,Charges!F201&lt;&gt;"",Charges!F201&lt;&gt;0),1,0)+IF(AND(2&gt;Paramètres!$B$9,Charges!G201&lt;&gt;"",Charges!G201&lt;&gt;0),1,0)+IF(AND(3&gt;Paramètres!$B$9,Charges!H201&lt;&gt;"",Charges!H201&lt;&gt;0),1,0)+IF(AND(4&gt;Paramètres!$B$9,Charges!I201&lt;&gt;"",Charges!I201&lt;&gt;0),1,0)+IF(AND(5&gt;Paramètres!$B$9,Charges!J201&lt;&gt;"",Charges!J201&lt;&gt;0),1,0)+IF(AND(6&gt;Paramètres!$B$9,Charges!K201&lt;&gt;"",Charges!K201&lt;&gt;0),1,0)+IF(AND(7&gt;Paramètres!$B$9,Charges!L201&lt;&gt;"",Charges!L201&lt;&gt;0),1,0)+IF(AND(8&gt;Paramètres!$B$9,Charges!M201&lt;&gt;"",Charges!M201&lt;&gt;0),1,0)+IF(AND(9&gt;Paramètres!$B$9,Charges!N201&lt;&gt;"",Charges!N201&lt;&gt;0),1,0)+IF(AND(10&gt;Paramètres!$B$9,Charges!O201&lt;&gt;"",Charges!O201&lt;&gt;0),1,0)+IF(AND(11&gt;Paramètres!$B$9,Charges!P201&lt;&gt;"",Charges!P201&lt;&gt;0),1,0)+IF(AND(12&gt;Paramètres!$B$9,Charges!Q201&lt;&gt;"",Charges!Q201&lt;&gt;0),1,0)+IF(AND(13&gt;Paramètres!$B$9,Charges!R201&lt;&gt;"",Charges!R201&lt;&gt;0),1,0)</f>
        <v>0</v>
      </c>
      <c r="V201" t="n">
        <f>IF(IFERROR(VLOOKUP(A201,'Projets'!$A$8:$Z$67,5,FALSE),"")="Engager",1,0)</f>
        <v>0</v>
      </c>
      <c r="W201" t="n">
        <f>IF(IFERROR(VLOOKUP(A201,'Projets'!$A$8:$Z$67,6,FALSE),"")="Engager",1,0)</f>
        <v>0</v>
      </c>
      <c r="X201" t="n">
        <f>E201*S201</f>
        <v>0</v>
      </c>
      <c r="Y201" t="n">
        <f>F201*S201</f>
        <v>0</v>
      </c>
      <c r="Z201" t="n">
        <f>G201*S201</f>
        <v>0</v>
      </c>
      <c r="AA201" t="n">
        <f>H201*S201</f>
        <v>0</v>
      </c>
      <c r="AB201" t="n">
        <f>I201*S201</f>
        <v>0</v>
      </c>
      <c r="AC201" t="n">
        <f>J201*S201</f>
        <v>0</v>
      </c>
      <c r="AD201" t="n">
        <f>K201*S201</f>
        <v>0</v>
      </c>
      <c r="AE201" t="n">
        <f>L201*S201</f>
        <v>0</v>
      </c>
      <c r="AF201" t="n">
        <f>M201*S201</f>
        <v>0</v>
      </c>
      <c r="AG201" t="n">
        <f>N201*S201</f>
        <v>0</v>
      </c>
      <c r="AH201" t="n">
        <f>O201*S201</f>
        <v>0</v>
      </c>
      <c r="AI201" t="n">
        <f>P201*S201</f>
        <v>0</v>
      </c>
      <c r="AJ201" t="n">
        <f>Q201*S201</f>
        <v>0</v>
      </c>
      <c r="AK201" t="n">
        <f>E201*V201</f>
        <v>0</v>
      </c>
      <c r="AL201" t="n">
        <f>F201*V201</f>
        <v>0</v>
      </c>
      <c r="AM201" t="n">
        <f>G201*V201</f>
        <v>0</v>
      </c>
      <c r="AN201" t="n">
        <f>H201*V201</f>
        <v>0</v>
      </c>
      <c r="AO201" t="n">
        <f>I201*V201</f>
        <v>0</v>
      </c>
      <c r="AP201" t="n">
        <f>J201*V201</f>
        <v>0</v>
      </c>
      <c r="AQ201" t="n">
        <f>K201*V201</f>
        <v>0</v>
      </c>
      <c r="AR201" t="n">
        <f>L201*V201</f>
        <v>0</v>
      </c>
      <c r="AS201" t="n">
        <f>M201*V201</f>
        <v>0</v>
      </c>
      <c r="AT201" t="n">
        <f>N201*V201</f>
        <v>0</v>
      </c>
      <c r="AU201" t="n">
        <f>O201*V201</f>
        <v>0</v>
      </c>
      <c r="AV201" t="n">
        <f>P201*V201</f>
        <v>0</v>
      </c>
      <c r="AW201" t="n">
        <f>Q201*V201</f>
        <v>0</v>
      </c>
      <c r="AX201" t="n">
        <f>E201*W201</f>
        <v>0</v>
      </c>
      <c r="AY201" t="n">
        <f>F201*W201</f>
        <v>0</v>
      </c>
      <c r="AZ201" t="n">
        <f>G201*W201</f>
        <v>0</v>
      </c>
      <c r="BA201" t="n">
        <f>H201*W201</f>
        <v>0</v>
      </c>
      <c r="BB201" t="n">
        <f>I201*W201</f>
        <v>0</v>
      </c>
      <c r="BC201" t="n">
        <f>J201*W201</f>
        <v>0</v>
      </c>
      <c r="BD201" t="n">
        <f>K201*W201</f>
        <v>0</v>
      </c>
      <c r="BE201" t="n">
        <f>L201*W201</f>
        <v>0</v>
      </c>
      <c r="BF201" t="n">
        <f>M201*W201</f>
        <v>0</v>
      </c>
      <c r="BG201" t="n">
        <f>N201*W201</f>
        <v>0</v>
      </c>
      <c r="BH201" t="n">
        <f>O201*W201</f>
        <v>0</v>
      </c>
      <c r="BI201" t="n">
        <f>P201*W201</f>
        <v>0</v>
      </c>
      <c r="BJ201" t="n">
        <f>Q201*W201</f>
        <v>0</v>
      </c>
    </row>
    <row r="202">
      <c r="A202" t="n">
        <f>Charges!A202</f>
        <v>0</v>
      </c>
      <c r="B202" t="n">
        <f>Charges!C202</f>
        <v>0</v>
      </c>
      <c r="C202" t="str">
        <f>Charges!D202</f>
        <v/>
      </c>
      <c r="E202" t="n">
        <f>IF(1&lt;=Paramètres!$B$9,MAX(0,IFERROR(N(IF(ISNUMBER(Charges!F202),MAX(0,Charges!F202),IFERROR(VLOOKUP(Charges!F202,Paramètres!$A$15:$B$18,2,FALSE),0))),0)),0)</f>
        <v>0</v>
      </c>
      <c r="F202" t="n">
        <f>IF(2&lt;=Paramètres!$B$9,MAX(0,IFERROR(N(IF(ISNUMBER(Charges!G202),MAX(0,Charges!G202),IFERROR(VLOOKUP(Charges!G202,Paramètres!$A$15:$B$18,2,FALSE),0))),0)),0)</f>
        <v>0</v>
      </c>
      <c r="G202" t="n">
        <f>IF(3&lt;=Paramètres!$B$9,MAX(0,IFERROR(N(IF(ISNUMBER(Charges!H202),MAX(0,Charges!H202),IFERROR(VLOOKUP(Charges!H202,Paramètres!$A$15:$B$18,2,FALSE),0))),0)),0)</f>
        <v>0</v>
      </c>
      <c r="H202" t="n">
        <f>IF(4&lt;=Paramètres!$B$9,MAX(0,IFERROR(N(IF(ISNUMBER(Charges!I202),MAX(0,Charges!I202),IFERROR(VLOOKUP(Charges!I202,Paramètres!$A$15:$B$18,2,FALSE),0))),0)),0)</f>
        <v>0</v>
      </c>
      <c r="I202" t="n">
        <f>IF(5&lt;=Paramètres!$B$9,MAX(0,IFERROR(N(IF(ISNUMBER(Charges!J202),MAX(0,Charges!J202),IFERROR(VLOOKUP(Charges!J202,Paramètres!$A$15:$B$18,2,FALSE),0))),0)),0)</f>
        <v>0</v>
      </c>
      <c r="J202" t="n">
        <f>IF(6&lt;=Paramètres!$B$9,MAX(0,IFERROR(N(IF(ISNUMBER(Charges!K202),MAX(0,Charges!K202),IFERROR(VLOOKUP(Charges!K202,Paramètres!$A$15:$B$18,2,FALSE),0))),0)),0)</f>
        <v>0</v>
      </c>
      <c r="K202" t="n">
        <f>IF(7&lt;=Paramètres!$B$9,MAX(0,IFERROR(N(IF(ISNUMBER(Charges!L202),MAX(0,Charges!L202),IFERROR(VLOOKUP(Charges!L202,Paramètres!$A$15:$B$18,2,FALSE),0))),0)),0)</f>
        <v>0</v>
      </c>
      <c r="L202" t="n">
        <f>IF(8&lt;=Paramètres!$B$9,MAX(0,IFERROR(N(IF(ISNUMBER(Charges!M202),MAX(0,Charges!M202),IFERROR(VLOOKUP(Charges!M202,Paramètres!$A$15:$B$18,2,FALSE),0))),0)),0)</f>
        <v>0</v>
      </c>
      <c r="M202" t="n">
        <f>IF(9&lt;=Paramètres!$B$9,MAX(0,IFERROR(N(IF(ISNUMBER(Charges!N202),MAX(0,Charges!N202),IFERROR(VLOOKUP(Charges!N202,Paramètres!$A$15:$B$18,2,FALSE),0))),0)),0)</f>
        <v>0</v>
      </c>
      <c r="N202" t="n">
        <f>IF(10&lt;=Paramètres!$B$9,MAX(0,IFERROR(N(IF(ISNUMBER(Charges!O202),MAX(0,Charges!O202),IFERROR(VLOOKUP(Charges!O202,Paramètres!$A$15:$B$18,2,FALSE),0))),0)),0)</f>
        <v>0</v>
      </c>
      <c r="O202" t="n">
        <f>IF(11&lt;=Paramètres!$B$9,MAX(0,IFERROR(N(IF(ISNUMBER(Charges!P202),MAX(0,Charges!P202),IFERROR(VLOOKUP(Charges!P202,Paramètres!$A$15:$B$18,2,FALSE),0))),0)),0)</f>
        <v>0</v>
      </c>
      <c r="P202" t="n">
        <f>IF(12&lt;=Paramètres!$B$9,MAX(0,IFERROR(N(IF(ISNUMBER(Charges!Q202),MAX(0,Charges!Q202),IFERROR(VLOOKUP(Charges!Q202,Paramètres!$A$15:$B$18,2,FALSE),0))),0)),0)</f>
        <v>0</v>
      </c>
      <c r="Q202" t="n">
        <f>IF(13&lt;=Paramètres!$B$9,MAX(0,IFERROR(N(IF(ISNUMBER(Charges!R202),MAX(0,Charges!R202),IFERROR(VLOOKUP(Charges!R202,Paramètres!$A$15:$B$18,2,FALSE),0))),0)),0)</f>
        <v>0</v>
      </c>
      <c r="R202" t="n">
        <f>SUM(E202:Q202)</f>
        <v>0</v>
      </c>
      <c r="S202" t="n">
        <f>IF(IFERROR(VLOOKUP(A202,'Projets'!$A$8:$Z$67,7,FALSE),"")="Engager",1,0)</f>
        <v>0</v>
      </c>
      <c r="T202" t="n">
        <f>IF(OR(Charges!F202="",AND(ISNUMBER(Charges!F202),Charges!F202&gt;=0),Charges!F202="S",Charges!F202="M",Charges!F202="L",Charges!F202="XL"),0,1)+IF(OR(Charges!G202="",AND(ISNUMBER(Charges!G202),Charges!G202&gt;=0),Charges!G202="S",Charges!G202="M",Charges!G202="L",Charges!G202="XL"),0,1)+IF(OR(Charges!H202="",AND(ISNUMBER(Charges!H202),Charges!H202&gt;=0),Charges!H202="S",Charges!H202="M",Charges!H202="L",Charges!H202="XL"),0,1)+IF(OR(Charges!I202="",AND(ISNUMBER(Charges!I202),Charges!I202&gt;=0),Charges!I202="S",Charges!I202="M",Charges!I202="L",Charges!I202="XL"),0,1)+IF(OR(Charges!J202="",AND(ISNUMBER(Charges!J202),Charges!J202&gt;=0),Charges!J202="S",Charges!J202="M",Charges!J202="L",Charges!J202="XL"),0,1)+IF(OR(Charges!K202="",AND(ISNUMBER(Charges!K202),Charges!K202&gt;=0),Charges!K202="S",Charges!K202="M",Charges!K202="L",Charges!K202="XL"),0,1)+IF(OR(Charges!L202="",AND(ISNUMBER(Charges!L202),Charges!L202&gt;=0),Charges!L202="S",Charges!L202="M",Charges!L202="L",Charges!L202="XL"),0,1)+IF(OR(Charges!M202="",AND(ISNUMBER(Charges!M202),Charges!M202&gt;=0),Charges!M202="S",Charges!M202="M",Charges!M202="L",Charges!M202="XL"),0,1)+IF(OR(Charges!N202="",AND(ISNUMBER(Charges!N202),Charges!N202&gt;=0),Charges!N202="S",Charges!N202="M",Charges!N202="L",Charges!N202="XL"),0,1)+IF(OR(Charges!O202="",AND(ISNUMBER(Charges!O202),Charges!O202&gt;=0),Charges!O202="S",Charges!O202="M",Charges!O202="L",Charges!O202="XL"),0,1)+IF(OR(Charges!P202="",AND(ISNUMBER(Charges!P202),Charges!P202&gt;=0),Charges!P202="S",Charges!P202="M",Charges!P202="L",Charges!P202="XL"),0,1)+IF(OR(Charges!Q202="",AND(ISNUMBER(Charges!Q202),Charges!Q202&gt;=0),Charges!Q202="S",Charges!Q202="M",Charges!Q202="L",Charges!Q202="XL"),0,1)+IF(OR(Charges!R202="",AND(ISNUMBER(Charges!R202),Charges!R202&gt;=0),Charges!R202="S",Charges!R202="M",Charges!R202="L",Charges!R202="XL"),0,1)</f>
        <v>0</v>
      </c>
      <c r="U202" t="n">
        <f>IF(AND(1&gt;Paramètres!$B$9,Charges!F202&lt;&gt;"",Charges!F202&lt;&gt;0),1,0)+IF(AND(2&gt;Paramètres!$B$9,Charges!G202&lt;&gt;"",Charges!G202&lt;&gt;0),1,0)+IF(AND(3&gt;Paramètres!$B$9,Charges!H202&lt;&gt;"",Charges!H202&lt;&gt;0),1,0)+IF(AND(4&gt;Paramètres!$B$9,Charges!I202&lt;&gt;"",Charges!I202&lt;&gt;0),1,0)+IF(AND(5&gt;Paramètres!$B$9,Charges!J202&lt;&gt;"",Charges!J202&lt;&gt;0),1,0)+IF(AND(6&gt;Paramètres!$B$9,Charges!K202&lt;&gt;"",Charges!K202&lt;&gt;0),1,0)+IF(AND(7&gt;Paramètres!$B$9,Charges!L202&lt;&gt;"",Charges!L202&lt;&gt;0),1,0)+IF(AND(8&gt;Paramètres!$B$9,Charges!M202&lt;&gt;"",Charges!M202&lt;&gt;0),1,0)+IF(AND(9&gt;Paramètres!$B$9,Charges!N202&lt;&gt;"",Charges!N202&lt;&gt;0),1,0)+IF(AND(10&gt;Paramètres!$B$9,Charges!O202&lt;&gt;"",Charges!O202&lt;&gt;0),1,0)+IF(AND(11&gt;Paramètres!$B$9,Charges!P202&lt;&gt;"",Charges!P202&lt;&gt;0),1,0)+IF(AND(12&gt;Paramètres!$B$9,Charges!Q202&lt;&gt;"",Charges!Q202&lt;&gt;0),1,0)+IF(AND(13&gt;Paramètres!$B$9,Charges!R202&lt;&gt;"",Charges!R202&lt;&gt;0),1,0)</f>
        <v>0</v>
      </c>
      <c r="V202" t="n">
        <f>IF(IFERROR(VLOOKUP(A202,'Projets'!$A$8:$Z$67,5,FALSE),"")="Engager",1,0)</f>
        <v>0</v>
      </c>
      <c r="W202" t="n">
        <f>IF(IFERROR(VLOOKUP(A202,'Projets'!$A$8:$Z$67,6,FALSE),"")="Engager",1,0)</f>
        <v>0</v>
      </c>
      <c r="X202" t="n">
        <f>E202*S202</f>
        <v>0</v>
      </c>
      <c r="Y202" t="n">
        <f>F202*S202</f>
        <v>0</v>
      </c>
      <c r="Z202" t="n">
        <f>G202*S202</f>
        <v>0</v>
      </c>
      <c r="AA202" t="n">
        <f>H202*S202</f>
        <v>0</v>
      </c>
      <c r="AB202" t="n">
        <f>I202*S202</f>
        <v>0</v>
      </c>
      <c r="AC202" t="n">
        <f>J202*S202</f>
        <v>0</v>
      </c>
      <c r="AD202" t="n">
        <f>K202*S202</f>
        <v>0</v>
      </c>
      <c r="AE202" t="n">
        <f>L202*S202</f>
        <v>0</v>
      </c>
      <c r="AF202" t="n">
        <f>M202*S202</f>
        <v>0</v>
      </c>
      <c r="AG202" t="n">
        <f>N202*S202</f>
        <v>0</v>
      </c>
      <c r="AH202" t="n">
        <f>O202*S202</f>
        <v>0</v>
      </c>
      <c r="AI202" t="n">
        <f>P202*S202</f>
        <v>0</v>
      </c>
      <c r="AJ202" t="n">
        <f>Q202*S202</f>
        <v>0</v>
      </c>
      <c r="AK202" t="n">
        <f>E202*V202</f>
        <v>0</v>
      </c>
      <c r="AL202" t="n">
        <f>F202*V202</f>
        <v>0</v>
      </c>
      <c r="AM202" t="n">
        <f>G202*V202</f>
        <v>0</v>
      </c>
      <c r="AN202" t="n">
        <f>H202*V202</f>
        <v>0</v>
      </c>
      <c r="AO202" t="n">
        <f>I202*V202</f>
        <v>0</v>
      </c>
      <c r="AP202" t="n">
        <f>J202*V202</f>
        <v>0</v>
      </c>
      <c r="AQ202" t="n">
        <f>K202*V202</f>
        <v>0</v>
      </c>
      <c r="AR202" t="n">
        <f>L202*V202</f>
        <v>0</v>
      </c>
      <c r="AS202" t="n">
        <f>M202*V202</f>
        <v>0</v>
      </c>
      <c r="AT202" t="n">
        <f>N202*V202</f>
        <v>0</v>
      </c>
      <c r="AU202" t="n">
        <f>O202*V202</f>
        <v>0</v>
      </c>
      <c r="AV202" t="n">
        <f>P202*V202</f>
        <v>0</v>
      </c>
      <c r="AW202" t="n">
        <f>Q202*V202</f>
        <v>0</v>
      </c>
      <c r="AX202" t="n">
        <f>E202*W202</f>
        <v>0</v>
      </c>
      <c r="AY202" t="n">
        <f>F202*W202</f>
        <v>0</v>
      </c>
      <c r="AZ202" t="n">
        <f>G202*W202</f>
        <v>0</v>
      </c>
      <c r="BA202" t="n">
        <f>H202*W202</f>
        <v>0</v>
      </c>
      <c r="BB202" t="n">
        <f>I202*W202</f>
        <v>0</v>
      </c>
      <c r="BC202" t="n">
        <f>J202*W202</f>
        <v>0</v>
      </c>
      <c r="BD202" t="n">
        <f>K202*W202</f>
        <v>0</v>
      </c>
      <c r="BE202" t="n">
        <f>L202*W202</f>
        <v>0</v>
      </c>
      <c r="BF202" t="n">
        <f>M202*W202</f>
        <v>0</v>
      </c>
      <c r="BG202" t="n">
        <f>N202*W202</f>
        <v>0</v>
      </c>
      <c r="BH202" t="n">
        <f>O202*W202</f>
        <v>0</v>
      </c>
      <c r="BI202" t="n">
        <f>P202*W202</f>
        <v>0</v>
      </c>
      <c r="BJ202" t="n">
        <f>Q202*W202</f>
        <v>0</v>
      </c>
    </row>
    <row r="203">
      <c r="A203" t="n">
        <f>Charges!A203</f>
        <v>0</v>
      </c>
      <c r="B203" t="n">
        <f>Charges!C203</f>
        <v>0</v>
      </c>
      <c r="C203" t="str">
        <f>Charges!D203</f>
        <v/>
      </c>
      <c r="E203" t="n">
        <f>IF(1&lt;=Paramètres!$B$9,MAX(0,IFERROR(N(IF(ISNUMBER(Charges!F203),MAX(0,Charges!F203),IFERROR(VLOOKUP(Charges!F203,Paramètres!$A$15:$B$18,2,FALSE),0))),0)),0)</f>
        <v>0</v>
      </c>
      <c r="F203" t="n">
        <f>IF(2&lt;=Paramètres!$B$9,MAX(0,IFERROR(N(IF(ISNUMBER(Charges!G203),MAX(0,Charges!G203),IFERROR(VLOOKUP(Charges!G203,Paramètres!$A$15:$B$18,2,FALSE),0))),0)),0)</f>
        <v>0</v>
      </c>
      <c r="G203" t="n">
        <f>IF(3&lt;=Paramètres!$B$9,MAX(0,IFERROR(N(IF(ISNUMBER(Charges!H203),MAX(0,Charges!H203),IFERROR(VLOOKUP(Charges!H203,Paramètres!$A$15:$B$18,2,FALSE),0))),0)),0)</f>
        <v>0</v>
      </c>
      <c r="H203" t="n">
        <f>IF(4&lt;=Paramètres!$B$9,MAX(0,IFERROR(N(IF(ISNUMBER(Charges!I203),MAX(0,Charges!I203),IFERROR(VLOOKUP(Charges!I203,Paramètres!$A$15:$B$18,2,FALSE),0))),0)),0)</f>
        <v>0</v>
      </c>
      <c r="I203" t="n">
        <f>IF(5&lt;=Paramètres!$B$9,MAX(0,IFERROR(N(IF(ISNUMBER(Charges!J203),MAX(0,Charges!J203),IFERROR(VLOOKUP(Charges!J203,Paramètres!$A$15:$B$18,2,FALSE),0))),0)),0)</f>
        <v>0</v>
      </c>
      <c r="J203" t="n">
        <f>IF(6&lt;=Paramètres!$B$9,MAX(0,IFERROR(N(IF(ISNUMBER(Charges!K203),MAX(0,Charges!K203),IFERROR(VLOOKUP(Charges!K203,Paramètres!$A$15:$B$18,2,FALSE),0))),0)),0)</f>
        <v>0</v>
      </c>
      <c r="K203" t="n">
        <f>IF(7&lt;=Paramètres!$B$9,MAX(0,IFERROR(N(IF(ISNUMBER(Charges!L203),MAX(0,Charges!L203),IFERROR(VLOOKUP(Charges!L203,Paramètres!$A$15:$B$18,2,FALSE),0))),0)),0)</f>
        <v>0</v>
      </c>
      <c r="L203" t="n">
        <f>IF(8&lt;=Paramètres!$B$9,MAX(0,IFERROR(N(IF(ISNUMBER(Charges!M203),MAX(0,Charges!M203),IFERROR(VLOOKUP(Charges!M203,Paramètres!$A$15:$B$18,2,FALSE),0))),0)),0)</f>
        <v>0</v>
      </c>
      <c r="M203" t="n">
        <f>IF(9&lt;=Paramètres!$B$9,MAX(0,IFERROR(N(IF(ISNUMBER(Charges!N203),MAX(0,Charges!N203),IFERROR(VLOOKUP(Charges!N203,Paramètres!$A$15:$B$18,2,FALSE),0))),0)),0)</f>
        <v>0</v>
      </c>
      <c r="N203" t="n">
        <f>IF(10&lt;=Paramètres!$B$9,MAX(0,IFERROR(N(IF(ISNUMBER(Charges!O203),MAX(0,Charges!O203),IFERROR(VLOOKUP(Charges!O203,Paramètres!$A$15:$B$18,2,FALSE),0))),0)),0)</f>
        <v>0</v>
      </c>
      <c r="O203" t="n">
        <f>IF(11&lt;=Paramètres!$B$9,MAX(0,IFERROR(N(IF(ISNUMBER(Charges!P203),MAX(0,Charges!P203),IFERROR(VLOOKUP(Charges!P203,Paramètres!$A$15:$B$18,2,FALSE),0))),0)),0)</f>
        <v>0</v>
      </c>
      <c r="P203" t="n">
        <f>IF(12&lt;=Paramètres!$B$9,MAX(0,IFERROR(N(IF(ISNUMBER(Charges!Q203),MAX(0,Charges!Q203),IFERROR(VLOOKUP(Charges!Q203,Paramètres!$A$15:$B$18,2,FALSE),0))),0)),0)</f>
        <v>0</v>
      </c>
      <c r="Q203" t="n">
        <f>IF(13&lt;=Paramètres!$B$9,MAX(0,IFERROR(N(IF(ISNUMBER(Charges!R203),MAX(0,Charges!R203),IFERROR(VLOOKUP(Charges!R203,Paramètres!$A$15:$B$18,2,FALSE),0))),0)),0)</f>
        <v>0</v>
      </c>
      <c r="R203" t="n">
        <f>SUM(E203:Q203)</f>
        <v>0</v>
      </c>
      <c r="S203" t="n">
        <f>IF(IFERROR(VLOOKUP(A203,'Projets'!$A$8:$Z$67,7,FALSE),"")="Engager",1,0)</f>
        <v>0</v>
      </c>
      <c r="T203" t="n">
        <f>IF(OR(Charges!F203="",AND(ISNUMBER(Charges!F203),Charges!F203&gt;=0),Charges!F203="S",Charges!F203="M",Charges!F203="L",Charges!F203="XL"),0,1)+IF(OR(Charges!G203="",AND(ISNUMBER(Charges!G203),Charges!G203&gt;=0),Charges!G203="S",Charges!G203="M",Charges!G203="L",Charges!G203="XL"),0,1)+IF(OR(Charges!H203="",AND(ISNUMBER(Charges!H203),Charges!H203&gt;=0),Charges!H203="S",Charges!H203="M",Charges!H203="L",Charges!H203="XL"),0,1)+IF(OR(Charges!I203="",AND(ISNUMBER(Charges!I203),Charges!I203&gt;=0),Charges!I203="S",Charges!I203="M",Charges!I203="L",Charges!I203="XL"),0,1)+IF(OR(Charges!J203="",AND(ISNUMBER(Charges!J203),Charges!J203&gt;=0),Charges!J203="S",Charges!J203="M",Charges!J203="L",Charges!J203="XL"),0,1)+IF(OR(Charges!K203="",AND(ISNUMBER(Charges!K203),Charges!K203&gt;=0),Charges!K203="S",Charges!K203="M",Charges!K203="L",Charges!K203="XL"),0,1)+IF(OR(Charges!L203="",AND(ISNUMBER(Charges!L203),Charges!L203&gt;=0),Charges!L203="S",Charges!L203="M",Charges!L203="L",Charges!L203="XL"),0,1)+IF(OR(Charges!M203="",AND(ISNUMBER(Charges!M203),Charges!M203&gt;=0),Charges!M203="S",Charges!M203="M",Charges!M203="L",Charges!M203="XL"),0,1)+IF(OR(Charges!N203="",AND(ISNUMBER(Charges!N203),Charges!N203&gt;=0),Charges!N203="S",Charges!N203="M",Charges!N203="L",Charges!N203="XL"),0,1)+IF(OR(Charges!O203="",AND(ISNUMBER(Charges!O203),Charges!O203&gt;=0),Charges!O203="S",Charges!O203="M",Charges!O203="L",Charges!O203="XL"),0,1)+IF(OR(Charges!P203="",AND(ISNUMBER(Charges!P203),Charges!P203&gt;=0),Charges!P203="S",Charges!P203="M",Charges!P203="L",Charges!P203="XL"),0,1)+IF(OR(Charges!Q203="",AND(ISNUMBER(Charges!Q203),Charges!Q203&gt;=0),Charges!Q203="S",Charges!Q203="M",Charges!Q203="L",Charges!Q203="XL"),0,1)+IF(OR(Charges!R203="",AND(ISNUMBER(Charges!R203),Charges!R203&gt;=0),Charges!R203="S",Charges!R203="M",Charges!R203="L",Charges!R203="XL"),0,1)</f>
        <v>0</v>
      </c>
      <c r="U203" t="n">
        <f>IF(AND(1&gt;Paramètres!$B$9,Charges!F203&lt;&gt;"",Charges!F203&lt;&gt;0),1,0)+IF(AND(2&gt;Paramètres!$B$9,Charges!G203&lt;&gt;"",Charges!G203&lt;&gt;0),1,0)+IF(AND(3&gt;Paramètres!$B$9,Charges!H203&lt;&gt;"",Charges!H203&lt;&gt;0),1,0)+IF(AND(4&gt;Paramètres!$B$9,Charges!I203&lt;&gt;"",Charges!I203&lt;&gt;0),1,0)+IF(AND(5&gt;Paramètres!$B$9,Charges!J203&lt;&gt;"",Charges!J203&lt;&gt;0),1,0)+IF(AND(6&gt;Paramètres!$B$9,Charges!K203&lt;&gt;"",Charges!K203&lt;&gt;0),1,0)+IF(AND(7&gt;Paramètres!$B$9,Charges!L203&lt;&gt;"",Charges!L203&lt;&gt;0),1,0)+IF(AND(8&gt;Paramètres!$B$9,Charges!M203&lt;&gt;"",Charges!M203&lt;&gt;0),1,0)+IF(AND(9&gt;Paramètres!$B$9,Charges!N203&lt;&gt;"",Charges!N203&lt;&gt;0),1,0)+IF(AND(10&gt;Paramètres!$B$9,Charges!O203&lt;&gt;"",Charges!O203&lt;&gt;0),1,0)+IF(AND(11&gt;Paramètres!$B$9,Charges!P203&lt;&gt;"",Charges!P203&lt;&gt;0),1,0)+IF(AND(12&gt;Paramètres!$B$9,Charges!Q203&lt;&gt;"",Charges!Q203&lt;&gt;0),1,0)+IF(AND(13&gt;Paramètres!$B$9,Charges!R203&lt;&gt;"",Charges!R203&lt;&gt;0),1,0)</f>
        <v>0</v>
      </c>
      <c r="V203" t="n">
        <f>IF(IFERROR(VLOOKUP(A203,'Projets'!$A$8:$Z$67,5,FALSE),"")="Engager",1,0)</f>
        <v>0</v>
      </c>
      <c r="W203" t="n">
        <f>IF(IFERROR(VLOOKUP(A203,'Projets'!$A$8:$Z$67,6,FALSE),"")="Engager",1,0)</f>
        <v>0</v>
      </c>
      <c r="X203" t="n">
        <f>E203*S203</f>
        <v>0</v>
      </c>
      <c r="Y203" t="n">
        <f>F203*S203</f>
        <v>0</v>
      </c>
      <c r="Z203" t="n">
        <f>G203*S203</f>
        <v>0</v>
      </c>
      <c r="AA203" t="n">
        <f>H203*S203</f>
        <v>0</v>
      </c>
      <c r="AB203" t="n">
        <f>I203*S203</f>
        <v>0</v>
      </c>
      <c r="AC203" t="n">
        <f>J203*S203</f>
        <v>0</v>
      </c>
      <c r="AD203" t="n">
        <f>K203*S203</f>
        <v>0</v>
      </c>
      <c r="AE203" t="n">
        <f>L203*S203</f>
        <v>0</v>
      </c>
      <c r="AF203" t="n">
        <f>M203*S203</f>
        <v>0</v>
      </c>
      <c r="AG203" t="n">
        <f>N203*S203</f>
        <v>0</v>
      </c>
      <c r="AH203" t="n">
        <f>O203*S203</f>
        <v>0</v>
      </c>
      <c r="AI203" t="n">
        <f>P203*S203</f>
        <v>0</v>
      </c>
      <c r="AJ203" t="n">
        <f>Q203*S203</f>
        <v>0</v>
      </c>
      <c r="AK203" t="n">
        <f>E203*V203</f>
        <v>0</v>
      </c>
      <c r="AL203" t="n">
        <f>F203*V203</f>
        <v>0</v>
      </c>
      <c r="AM203" t="n">
        <f>G203*V203</f>
        <v>0</v>
      </c>
      <c r="AN203" t="n">
        <f>H203*V203</f>
        <v>0</v>
      </c>
      <c r="AO203" t="n">
        <f>I203*V203</f>
        <v>0</v>
      </c>
      <c r="AP203" t="n">
        <f>J203*V203</f>
        <v>0</v>
      </c>
      <c r="AQ203" t="n">
        <f>K203*V203</f>
        <v>0</v>
      </c>
      <c r="AR203" t="n">
        <f>L203*V203</f>
        <v>0</v>
      </c>
      <c r="AS203" t="n">
        <f>M203*V203</f>
        <v>0</v>
      </c>
      <c r="AT203" t="n">
        <f>N203*V203</f>
        <v>0</v>
      </c>
      <c r="AU203" t="n">
        <f>O203*V203</f>
        <v>0</v>
      </c>
      <c r="AV203" t="n">
        <f>P203*V203</f>
        <v>0</v>
      </c>
      <c r="AW203" t="n">
        <f>Q203*V203</f>
        <v>0</v>
      </c>
      <c r="AX203" t="n">
        <f>E203*W203</f>
        <v>0</v>
      </c>
      <c r="AY203" t="n">
        <f>F203*W203</f>
        <v>0</v>
      </c>
      <c r="AZ203" t="n">
        <f>G203*W203</f>
        <v>0</v>
      </c>
      <c r="BA203" t="n">
        <f>H203*W203</f>
        <v>0</v>
      </c>
      <c r="BB203" t="n">
        <f>I203*W203</f>
        <v>0</v>
      </c>
      <c r="BC203" t="n">
        <f>J203*W203</f>
        <v>0</v>
      </c>
      <c r="BD203" t="n">
        <f>K203*W203</f>
        <v>0</v>
      </c>
      <c r="BE203" t="n">
        <f>L203*W203</f>
        <v>0</v>
      </c>
      <c r="BF203" t="n">
        <f>M203*W203</f>
        <v>0</v>
      </c>
      <c r="BG203" t="n">
        <f>N203*W203</f>
        <v>0</v>
      </c>
      <c r="BH203" t="n">
        <f>O203*W203</f>
        <v>0</v>
      </c>
      <c r="BI203" t="n">
        <f>P203*W203</f>
        <v>0</v>
      </c>
      <c r="BJ203" t="n">
        <f>Q203*W203</f>
        <v>0</v>
      </c>
    </row>
    <row r="204">
      <c r="A204" t="n">
        <f>Charges!A204</f>
        <v>0</v>
      </c>
      <c r="B204" t="n">
        <f>Charges!C204</f>
        <v>0</v>
      </c>
      <c r="C204" t="str">
        <f>Charges!D204</f>
        <v/>
      </c>
      <c r="E204" t="n">
        <f>IF(1&lt;=Paramètres!$B$9,MAX(0,IFERROR(N(IF(ISNUMBER(Charges!F204),MAX(0,Charges!F204),IFERROR(VLOOKUP(Charges!F204,Paramètres!$A$15:$B$18,2,FALSE),0))),0)),0)</f>
        <v>0</v>
      </c>
      <c r="F204" t="n">
        <f>IF(2&lt;=Paramètres!$B$9,MAX(0,IFERROR(N(IF(ISNUMBER(Charges!G204),MAX(0,Charges!G204),IFERROR(VLOOKUP(Charges!G204,Paramètres!$A$15:$B$18,2,FALSE),0))),0)),0)</f>
        <v>0</v>
      </c>
      <c r="G204" t="n">
        <f>IF(3&lt;=Paramètres!$B$9,MAX(0,IFERROR(N(IF(ISNUMBER(Charges!H204),MAX(0,Charges!H204),IFERROR(VLOOKUP(Charges!H204,Paramètres!$A$15:$B$18,2,FALSE),0))),0)),0)</f>
        <v>0</v>
      </c>
      <c r="H204" t="n">
        <f>IF(4&lt;=Paramètres!$B$9,MAX(0,IFERROR(N(IF(ISNUMBER(Charges!I204),MAX(0,Charges!I204),IFERROR(VLOOKUP(Charges!I204,Paramètres!$A$15:$B$18,2,FALSE),0))),0)),0)</f>
        <v>0</v>
      </c>
      <c r="I204" t="n">
        <f>IF(5&lt;=Paramètres!$B$9,MAX(0,IFERROR(N(IF(ISNUMBER(Charges!J204),MAX(0,Charges!J204),IFERROR(VLOOKUP(Charges!J204,Paramètres!$A$15:$B$18,2,FALSE),0))),0)),0)</f>
        <v>0</v>
      </c>
      <c r="J204" t="n">
        <f>IF(6&lt;=Paramètres!$B$9,MAX(0,IFERROR(N(IF(ISNUMBER(Charges!K204),MAX(0,Charges!K204),IFERROR(VLOOKUP(Charges!K204,Paramètres!$A$15:$B$18,2,FALSE),0))),0)),0)</f>
        <v>0</v>
      </c>
      <c r="K204" t="n">
        <f>IF(7&lt;=Paramètres!$B$9,MAX(0,IFERROR(N(IF(ISNUMBER(Charges!L204),MAX(0,Charges!L204),IFERROR(VLOOKUP(Charges!L204,Paramètres!$A$15:$B$18,2,FALSE),0))),0)),0)</f>
        <v>0</v>
      </c>
      <c r="L204" t="n">
        <f>IF(8&lt;=Paramètres!$B$9,MAX(0,IFERROR(N(IF(ISNUMBER(Charges!M204),MAX(0,Charges!M204),IFERROR(VLOOKUP(Charges!M204,Paramètres!$A$15:$B$18,2,FALSE),0))),0)),0)</f>
        <v>0</v>
      </c>
      <c r="M204" t="n">
        <f>IF(9&lt;=Paramètres!$B$9,MAX(0,IFERROR(N(IF(ISNUMBER(Charges!N204),MAX(0,Charges!N204),IFERROR(VLOOKUP(Charges!N204,Paramètres!$A$15:$B$18,2,FALSE),0))),0)),0)</f>
        <v>0</v>
      </c>
      <c r="N204" t="n">
        <f>IF(10&lt;=Paramètres!$B$9,MAX(0,IFERROR(N(IF(ISNUMBER(Charges!O204),MAX(0,Charges!O204),IFERROR(VLOOKUP(Charges!O204,Paramètres!$A$15:$B$18,2,FALSE),0))),0)),0)</f>
        <v>0</v>
      </c>
      <c r="O204" t="n">
        <f>IF(11&lt;=Paramètres!$B$9,MAX(0,IFERROR(N(IF(ISNUMBER(Charges!P204),MAX(0,Charges!P204),IFERROR(VLOOKUP(Charges!P204,Paramètres!$A$15:$B$18,2,FALSE),0))),0)),0)</f>
        <v>0</v>
      </c>
      <c r="P204" t="n">
        <f>IF(12&lt;=Paramètres!$B$9,MAX(0,IFERROR(N(IF(ISNUMBER(Charges!Q204),MAX(0,Charges!Q204),IFERROR(VLOOKUP(Charges!Q204,Paramètres!$A$15:$B$18,2,FALSE),0))),0)),0)</f>
        <v>0</v>
      </c>
      <c r="Q204" t="n">
        <f>IF(13&lt;=Paramètres!$B$9,MAX(0,IFERROR(N(IF(ISNUMBER(Charges!R204),MAX(0,Charges!R204),IFERROR(VLOOKUP(Charges!R204,Paramètres!$A$15:$B$18,2,FALSE),0))),0)),0)</f>
        <v>0</v>
      </c>
      <c r="R204" t="n">
        <f>SUM(E204:Q204)</f>
        <v>0</v>
      </c>
      <c r="S204" t="n">
        <f>IF(IFERROR(VLOOKUP(A204,'Projets'!$A$8:$Z$67,7,FALSE),"")="Engager",1,0)</f>
        <v>0</v>
      </c>
      <c r="T204" t="n">
        <f>IF(OR(Charges!F204="",AND(ISNUMBER(Charges!F204),Charges!F204&gt;=0),Charges!F204="S",Charges!F204="M",Charges!F204="L",Charges!F204="XL"),0,1)+IF(OR(Charges!G204="",AND(ISNUMBER(Charges!G204),Charges!G204&gt;=0),Charges!G204="S",Charges!G204="M",Charges!G204="L",Charges!G204="XL"),0,1)+IF(OR(Charges!H204="",AND(ISNUMBER(Charges!H204),Charges!H204&gt;=0),Charges!H204="S",Charges!H204="M",Charges!H204="L",Charges!H204="XL"),0,1)+IF(OR(Charges!I204="",AND(ISNUMBER(Charges!I204),Charges!I204&gt;=0),Charges!I204="S",Charges!I204="M",Charges!I204="L",Charges!I204="XL"),0,1)+IF(OR(Charges!J204="",AND(ISNUMBER(Charges!J204),Charges!J204&gt;=0),Charges!J204="S",Charges!J204="M",Charges!J204="L",Charges!J204="XL"),0,1)+IF(OR(Charges!K204="",AND(ISNUMBER(Charges!K204),Charges!K204&gt;=0),Charges!K204="S",Charges!K204="M",Charges!K204="L",Charges!K204="XL"),0,1)+IF(OR(Charges!L204="",AND(ISNUMBER(Charges!L204),Charges!L204&gt;=0),Charges!L204="S",Charges!L204="M",Charges!L204="L",Charges!L204="XL"),0,1)+IF(OR(Charges!M204="",AND(ISNUMBER(Charges!M204),Charges!M204&gt;=0),Charges!M204="S",Charges!M204="M",Charges!M204="L",Charges!M204="XL"),0,1)+IF(OR(Charges!N204="",AND(ISNUMBER(Charges!N204),Charges!N204&gt;=0),Charges!N204="S",Charges!N204="M",Charges!N204="L",Charges!N204="XL"),0,1)+IF(OR(Charges!O204="",AND(ISNUMBER(Charges!O204),Charges!O204&gt;=0),Charges!O204="S",Charges!O204="M",Charges!O204="L",Charges!O204="XL"),0,1)+IF(OR(Charges!P204="",AND(ISNUMBER(Charges!P204),Charges!P204&gt;=0),Charges!P204="S",Charges!P204="M",Charges!P204="L",Charges!P204="XL"),0,1)+IF(OR(Charges!Q204="",AND(ISNUMBER(Charges!Q204),Charges!Q204&gt;=0),Charges!Q204="S",Charges!Q204="M",Charges!Q204="L",Charges!Q204="XL"),0,1)+IF(OR(Charges!R204="",AND(ISNUMBER(Charges!R204),Charges!R204&gt;=0),Charges!R204="S",Charges!R204="M",Charges!R204="L",Charges!R204="XL"),0,1)</f>
        <v>0</v>
      </c>
      <c r="U204" t="n">
        <f>IF(AND(1&gt;Paramètres!$B$9,Charges!F204&lt;&gt;"",Charges!F204&lt;&gt;0),1,0)+IF(AND(2&gt;Paramètres!$B$9,Charges!G204&lt;&gt;"",Charges!G204&lt;&gt;0),1,0)+IF(AND(3&gt;Paramètres!$B$9,Charges!H204&lt;&gt;"",Charges!H204&lt;&gt;0),1,0)+IF(AND(4&gt;Paramètres!$B$9,Charges!I204&lt;&gt;"",Charges!I204&lt;&gt;0),1,0)+IF(AND(5&gt;Paramètres!$B$9,Charges!J204&lt;&gt;"",Charges!J204&lt;&gt;0),1,0)+IF(AND(6&gt;Paramètres!$B$9,Charges!K204&lt;&gt;"",Charges!K204&lt;&gt;0),1,0)+IF(AND(7&gt;Paramètres!$B$9,Charges!L204&lt;&gt;"",Charges!L204&lt;&gt;0),1,0)+IF(AND(8&gt;Paramètres!$B$9,Charges!M204&lt;&gt;"",Charges!M204&lt;&gt;0),1,0)+IF(AND(9&gt;Paramètres!$B$9,Charges!N204&lt;&gt;"",Charges!N204&lt;&gt;0),1,0)+IF(AND(10&gt;Paramètres!$B$9,Charges!O204&lt;&gt;"",Charges!O204&lt;&gt;0),1,0)+IF(AND(11&gt;Paramètres!$B$9,Charges!P204&lt;&gt;"",Charges!P204&lt;&gt;0),1,0)+IF(AND(12&gt;Paramètres!$B$9,Charges!Q204&lt;&gt;"",Charges!Q204&lt;&gt;0),1,0)+IF(AND(13&gt;Paramètres!$B$9,Charges!R204&lt;&gt;"",Charges!R204&lt;&gt;0),1,0)</f>
        <v>0</v>
      </c>
      <c r="V204" t="n">
        <f>IF(IFERROR(VLOOKUP(A204,'Projets'!$A$8:$Z$67,5,FALSE),"")="Engager",1,0)</f>
        <v>0</v>
      </c>
      <c r="W204" t="n">
        <f>IF(IFERROR(VLOOKUP(A204,'Projets'!$A$8:$Z$67,6,FALSE),"")="Engager",1,0)</f>
        <v>0</v>
      </c>
      <c r="X204" t="n">
        <f>E204*S204</f>
        <v>0</v>
      </c>
      <c r="Y204" t="n">
        <f>F204*S204</f>
        <v>0</v>
      </c>
      <c r="Z204" t="n">
        <f>G204*S204</f>
        <v>0</v>
      </c>
      <c r="AA204" t="n">
        <f>H204*S204</f>
        <v>0</v>
      </c>
      <c r="AB204" t="n">
        <f>I204*S204</f>
        <v>0</v>
      </c>
      <c r="AC204" t="n">
        <f>J204*S204</f>
        <v>0</v>
      </c>
      <c r="AD204" t="n">
        <f>K204*S204</f>
        <v>0</v>
      </c>
      <c r="AE204" t="n">
        <f>L204*S204</f>
        <v>0</v>
      </c>
      <c r="AF204" t="n">
        <f>M204*S204</f>
        <v>0</v>
      </c>
      <c r="AG204" t="n">
        <f>N204*S204</f>
        <v>0</v>
      </c>
      <c r="AH204" t="n">
        <f>O204*S204</f>
        <v>0</v>
      </c>
      <c r="AI204" t="n">
        <f>P204*S204</f>
        <v>0</v>
      </c>
      <c r="AJ204" t="n">
        <f>Q204*S204</f>
        <v>0</v>
      </c>
      <c r="AK204" t="n">
        <f>E204*V204</f>
        <v>0</v>
      </c>
      <c r="AL204" t="n">
        <f>F204*V204</f>
        <v>0</v>
      </c>
      <c r="AM204" t="n">
        <f>G204*V204</f>
        <v>0</v>
      </c>
      <c r="AN204" t="n">
        <f>H204*V204</f>
        <v>0</v>
      </c>
      <c r="AO204" t="n">
        <f>I204*V204</f>
        <v>0</v>
      </c>
      <c r="AP204" t="n">
        <f>J204*V204</f>
        <v>0</v>
      </c>
      <c r="AQ204" t="n">
        <f>K204*V204</f>
        <v>0</v>
      </c>
      <c r="AR204" t="n">
        <f>L204*V204</f>
        <v>0</v>
      </c>
      <c r="AS204" t="n">
        <f>M204*V204</f>
        <v>0</v>
      </c>
      <c r="AT204" t="n">
        <f>N204*V204</f>
        <v>0</v>
      </c>
      <c r="AU204" t="n">
        <f>O204*V204</f>
        <v>0</v>
      </c>
      <c r="AV204" t="n">
        <f>P204*V204</f>
        <v>0</v>
      </c>
      <c r="AW204" t="n">
        <f>Q204*V204</f>
        <v>0</v>
      </c>
      <c r="AX204" t="n">
        <f>E204*W204</f>
        <v>0</v>
      </c>
      <c r="AY204" t="n">
        <f>F204*W204</f>
        <v>0</v>
      </c>
      <c r="AZ204" t="n">
        <f>G204*W204</f>
        <v>0</v>
      </c>
      <c r="BA204" t="n">
        <f>H204*W204</f>
        <v>0</v>
      </c>
      <c r="BB204" t="n">
        <f>I204*W204</f>
        <v>0</v>
      </c>
      <c r="BC204" t="n">
        <f>J204*W204</f>
        <v>0</v>
      </c>
      <c r="BD204" t="n">
        <f>K204*W204</f>
        <v>0</v>
      </c>
      <c r="BE204" t="n">
        <f>L204*W204</f>
        <v>0</v>
      </c>
      <c r="BF204" t="n">
        <f>M204*W204</f>
        <v>0</v>
      </c>
      <c r="BG204" t="n">
        <f>N204*W204</f>
        <v>0</v>
      </c>
      <c r="BH204" t="n">
        <f>O204*W204</f>
        <v>0</v>
      </c>
      <c r="BI204" t="n">
        <f>P204*W204</f>
        <v>0</v>
      </c>
      <c r="BJ204" t="n">
        <f>Q204*W204</f>
        <v>0</v>
      </c>
    </row>
    <row r="205">
      <c r="A205" t="n">
        <f>Charges!A205</f>
        <v>0</v>
      </c>
      <c r="B205" t="n">
        <f>Charges!C205</f>
        <v>0</v>
      </c>
      <c r="C205" t="str">
        <f>Charges!D205</f>
        <v/>
      </c>
      <c r="E205" t="n">
        <f>IF(1&lt;=Paramètres!$B$9,MAX(0,IFERROR(N(IF(ISNUMBER(Charges!F205),MAX(0,Charges!F205),IFERROR(VLOOKUP(Charges!F205,Paramètres!$A$15:$B$18,2,FALSE),0))),0)),0)</f>
        <v>0</v>
      </c>
      <c r="F205" t="n">
        <f>IF(2&lt;=Paramètres!$B$9,MAX(0,IFERROR(N(IF(ISNUMBER(Charges!G205),MAX(0,Charges!G205),IFERROR(VLOOKUP(Charges!G205,Paramètres!$A$15:$B$18,2,FALSE),0))),0)),0)</f>
        <v>0</v>
      </c>
      <c r="G205" t="n">
        <f>IF(3&lt;=Paramètres!$B$9,MAX(0,IFERROR(N(IF(ISNUMBER(Charges!H205),MAX(0,Charges!H205),IFERROR(VLOOKUP(Charges!H205,Paramètres!$A$15:$B$18,2,FALSE),0))),0)),0)</f>
        <v>0</v>
      </c>
      <c r="H205" t="n">
        <f>IF(4&lt;=Paramètres!$B$9,MAX(0,IFERROR(N(IF(ISNUMBER(Charges!I205),MAX(0,Charges!I205),IFERROR(VLOOKUP(Charges!I205,Paramètres!$A$15:$B$18,2,FALSE),0))),0)),0)</f>
        <v>0</v>
      </c>
      <c r="I205" t="n">
        <f>IF(5&lt;=Paramètres!$B$9,MAX(0,IFERROR(N(IF(ISNUMBER(Charges!J205),MAX(0,Charges!J205),IFERROR(VLOOKUP(Charges!J205,Paramètres!$A$15:$B$18,2,FALSE),0))),0)),0)</f>
        <v>0</v>
      </c>
      <c r="J205" t="n">
        <f>IF(6&lt;=Paramètres!$B$9,MAX(0,IFERROR(N(IF(ISNUMBER(Charges!K205),MAX(0,Charges!K205),IFERROR(VLOOKUP(Charges!K205,Paramètres!$A$15:$B$18,2,FALSE),0))),0)),0)</f>
        <v>0</v>
      </c>
      <c r="K205" t="n">
        <f>IF(7&lt;=Paramètres!$B$9,MAX(0,IFERROR(N(IF(ISNUMBER(Charges!L205),MAX(0,Charges!L205),IFERROR(VLOOKUP(Charges!L205,Paramètres!$A$15:$B$18,2,FALSE),0))),0)),0)</f>
        <v>0</v>
      </c>
      <c r="L205" t="n">
        <f>IF(8&lt;=Paramètres!$B$9,MAX(0,IFERROR(N(IF(ISNUMBER(Charges!M205),MAX(0,Charges!M205),IFERROR(VLOOKUP(Charges!M205,Paramètres!$A$15:$B$18,2,FALSE),0))),0)),0)</f>
        <v>0</v>
      </c>
      <c r="M205" t="n">
        <f>IF(9&lt;=Paramètres!$B$9,MAX(0,IFERROR(N(IF(ISNUMBER(Charges!N205),MAX(0,Charges!N205),IFERROR(VLOOKUP(Charges!N205,Paramètres!$A$15:$B$18,2,FALSE),0))),0)),0)</f>
        <v>0</v>
      </c>
      <c r="N205" t="n">
        <f>IF(10&lt;=Paramètres!$B$9,MAX(0,IFERROR(N(IF(ISNUMBER(Charges!O205),MAX(0,Charges!O205),IFERROR(VLOOKUP(Charges!O205,Paramètres!$A$15:$B$18,2,FALSE),0))),0)),0)</f>
        <v>0</v>
      </c>
      <c r="O205" t="n">
        <f>IF(11&lt;=Paramètres!$B$9,MAX(0,IFERROR(N(IF(ISNUMBER(Charges!P205),MAX(0,Charges!P205),IFERROR(VLOOKUP(Charges!P205,Paramètres!$A$15:$B$18,2,FALSE),0))),0)),0)</f>
        <v>0</v>
      </c>
      <c r="P205" t="n">
        <f>IF(12&lt;=Paramètres!$B$9,MAX(0,IFERROR(N(IF(ISNUMBER(Charges!Q205),MAX(0,Charges!Q205),IFERROR(VLOOKUP(Charges!Q205,Paramètres!$A$15:$B$18,2,FALSE),0))),0)),0)</f>
        <v>0</v>
      </c>
      <c r="Q205" t="n">
        <f>IF(13&lt;=Paramètres!$B$9,MAX(0,IFERROR(N(IF(ISNUMBER(Charges!R205),MAX(0,Charges!R205),IFERROR(VLOOKUP(Charges!R205,Paramètres!$A$15:$B$18,2,FALSE),0))),0)),0)</f>
        <v>0</v>
      </c>
      <c r="R205" t="n">
        <f>SUM(E205:Q205)</f>
        <v>0</v>
      </c>
      <c r="S205" t="n">
        <f>IF(IFERROR(VLOOKUP(A205,'Projets'!$A$8:$Z$67,7,FALSE),"")="Engager",1,0)</f>
        <v>0</v>
      </c>
      <c r="T205" t="n">
        <f>IF(OR(Charges!F205="",AND(ISNUMBER(Charges!F205),Charges!F205&gt;=0),Charges!F205="S",Charges!F205="M",Charges!F205="L",Charges!F205="XL"),0,1)+IF(OR(Charges!G205="",AND(ISNUMBER(Charges!G205),Charges!G205&gt;=0),Charges!G205="S",Charges!G205="M",Charges!G205="L",Charges!G205="XL"),0,1)+IF(OR(Charges!H205="",AND(ISNUMBER(Charges!H205),Charges!H205&gt;=0),Charges!H205="S",Charges!H205="M",Charges!H205="L",Charges!H205="XL"),0,1)+IF(OR(Charges!I205="",AND(ISNUMBER(Charges!I205),Charges!I205&gt;=0),Charges!I205="S",Charges!I205="M",Charges!I205="L",Charges!I205="XL"),0,1)+IF(OR(Charges!J205="",AND(ISNUMBER(Charges!J205),Charges!J205&gt;=0),Charges!J205="S",Charges!J205="M",Charges!J205="L",Charges!J205="XL"),0,1)+IF(OR(Charges!K205="",AND(ISNUMBER(Charges!K205),Charges!K205&gt;=0),Charges!K205="S",Charges!K205="M",Charges!K205="L",Charges!K205="XL"),0,1)+IF(OR(Charges!L205="",AND(ISNUMBER(Charges!L205),Charges!L205&gt;=0),Charges!L205="S",Charges!L205="M",Charges!L205="L",Charges!L205="XL"),0,1)+IF(OR(Charges!M205="",AND(ISNUMBER(Charges!M205),Charges!M205&gt;=0),Charges!M205="S",Charges!M205="M",Charges!M205="L",Charges!M205="XL"),0,1)+IF(OR(Charges!N205="",AND(ISNUMBER(Charges!N205),Charges!N205&gt;=0),Charges!N205="S",Charges!N205="M",Charges!N205="L",Charges!N205="XL"),0,1)+IF(OR(Charges!O205="",AND(ISNUMBER(Charges!O205),Charges!O205&gt;=0),Charges!O205="S",Charges!O205="M",Charges!O205="L",Charges!O205="XL"),0,1)+IF(OR(Charges!P205="",AND(ISNUMBER(Charges!P205),Charges!P205&gt;=0),Charges!P205="S",Charges!P205="M",Charges!P205="L",Charges!P205="XL"),0,1)+IF(OR(Charges!Q205="",AND(ISNUMBER(Charges!Q205),Charges!Q205&gt;=0),Charges!Q205="S",Charges!Q205="M",Charges!Q205="L",Charges!Q205="XL"),0,1)+IF(OR(Charges!R205="",AND(ISNUMBER(Charges!R205),Charges!R205&gt;=0),Charges!R205="S",Charges!R205="M",Charges!R205="L",Charges!R205="XL"),0,1)</f>
        <v>0</v>
      </c>
      <c r="U205" t="n">
        <f>IF(AND(1&gt;Paramètres!$B$9,Charges!F205&lt;&gt;"",Charges!F205&lt;&gt;0),1,0)+IF(AND(2&gt;Paramètres!$B$9,Charges!G205&lt;&gt;"",Charges!G205&lt;&gt;0),1,0)+IF(AND(3&gt;Paramètres!$B$9,Charges!H205&lt;&gt;"",Charges!H205&lt;&gt;0),1,0)+IF(AND(4&gt;Paramètres!$B$9,Charges!I205&lt;&gt;"",Charges!I205&lt;&gt;0),1,0)+IF(AND(5&gt;Paramètres!$B$9,Charges!J205&lt;&gt;"",Charges!J205&lt;&gt;0),1,0)+IF(AND(6&gt;Paramètres!$B$9,Charges!K205&lt;&gt;"",Charges!K205&lt;&gt;0),1,0)+IF(AND(7&gt;Paramètres!$B$9,Charges!L205&lt;&gt;"",Charges!L205&lt;&gt;0),1,0)+IF(AND(8&gt;Paramètres!$B$9,Charges!M205&lt;&gt;"",Charges!M205&lt;&gt;0),1,0)+IF(AND(9&gt;Paramètres!$B$9,Charges!N205&lt;&gt;"",Charges!N205&lt;&gt;0),1,0)+IF(AND(10&gt;Paramètres!$B$9,Charges!O205&lt;&gt;"",Charges!O205&lt;&gt;0),1,0)+IF(AND(11&gt;Paramètres!$B$9,Charges!P205&lt;&gt;"",Charges!P205&lt;&gt;0),1,0)+IF(AND(12&gt;Paramètres!$B$9,Charges!Q205&lt;&gt;"",Charges!Q205&lt;&gt;0),1,0)+IF(AND(13&gt;Paramètres!$B$9,Charges!R205&lt;&gt;"",Charges!R205&lt;&gt;0),1,0)</f>
        <v>0</v>
      </c>
      <c r="V205" t="n">
        <f>IF(IFERROR(VLOOKUP(A205,'Projets'!$A$8:$Z$67,5,FALSE),"")="Engager",1,0)</f>
        <v>0</v>
      </c>
      <c r="W205" t="n">
        <f>IF(IFERROR(VLOOKUP(A205,'Projets'!$A$8:$Z$67,6,FALSE),"")="Engager",1,0)</f>
        <v>0</v>
      </c>
      <c r="X205" t="n">
        <f>E205*S205</f>
        <v>0</v>
      </c>
      <c r="Y205" t="n">
        <f>F205*S205</f>
        <v>0</v>
      </c>
      <c r="Z205" t="n">
        <f>G205*S205</f>
        <v>0</v>
      </c>
      <c r="AA205" t="n">
        <f>H205*S205</f>
        <v>0</v>
      </c>
      <c r="AB205" t="n">
        <f>I205*S205</f>
        <v>0</v>
      </c>
      <c r="AC205" t="n">
        <f>J205*S205</f>
        <v>0</v>
      </c>
      <c r="AD205" t="n">
        <f>K205*S205</f>
        <v>0</v>
      </c>
      <c r="AE205" t="n">
        <f>L205*S205</f>
        <v>0</v>
      </c>
      <c r="AF205" t="n">
        <f>M205*S205</f>
        <v>0</v>
      </c>
      <c r="AG205" t="n">
        <f>N205*S205</f>
        <v>0</v>
      </c>
      <c r="AH205" t="n">
        <f>O205*S205</f>
        <v>0</v>
      </c>
      <c r="AI205" t="n">
        <f>P205*S205</f>
        <v>0</v>
      </c>
      <c r="AJ205" t="n">
        <f>Q205*S205</f>
        <v>0</v>
      </c>
      <c r="AK205" t="n">
        <f>E205*V205</f>
        <v>0</v>
      </c>
      <c r="AL205" t="n">
        <f>F205*V205</f>
        <v>0</v>
      </c>
      <c r="AM205" t="n">
        <f>G205*V205</f>
        <v>0</v>
      </c>
      <c r="AN205" t="n">
        <f>H205*V205</f>
        <v>0</v>
      </c>
      <c r="AO205" t="n">
        <f>I205*V205</f>
        <v>0</v>
      </c>
      <c r="AP205" t="n">
        <f>J205*V205</f>
        <v>0</v>
      </c>
      <c r="AQ205" t="n">
        <f>K205*V205</f>
        <v>0</v>
      </c>
      <c r="AR205" t="n">
        <f>L205*V205</f>
        <v>0</v>
      </c>
      <c r="AS205" t="n">
        <f>M205*V205</f>
        <v>0</v>
      </c>
      <c r="AT205" t="n">
        <f>N205*V205</f>
        <v>0</v>
      </c>
      <c r="AU205" t="n">
        <f>O205*V205</f>
        <v>0</v>
      </c>
      <c r="AV205" t="n">
        <f>P205*V205</f>
        <v>0</v>
      </c>
      <c r="AW205" t="n">
        <f>Q205*V205</f>
        <v>0</v>
      </c>
      <c r="AX205" t="n">
        <f>E205*W205</f>
        <v>0</v>
      </c>
      <c r="AY205" t="n">
        <f>F205*W205</f>
        <v>0</v>
      </c>
      <c r="AZ205" t="n">
        <f>G205*W205</f>
        <v>0</v>
      </c>
      <c r="BA205" t="n">
        <f>H205*W205</f>
        <v>0</v>
      </c>
      <c r="BB205" t="n">
        <f>I205*W205</f>
        <v>0</v>
      </c>
      <c r="BC205" t="n">
        <f>J205*W205</f>
        <v>0</v>
      </c>
      <c r="BD205" t="n">
        <f>K205*W205</f>
        <v>0</v>
      </c>
      <c r="BE205" t="n">
        <f>L205*W205</f>
        <v>0</v>
      </c>
      <c r="BF205" t="n">
        <f>M205*W205</f>
        <v>0</v>
      </c>
      <c r="BG205" t="n">
        <f>N205*W205</f>
        <v>0</v>
      </c>
      <c r="BH205" t="n">
        <f>O205*W205</f>
        <v>0</v>
      </c>
      <c r="BI205" t="n">
        <f>P205*W205</f>
        <v>0</v>
      </c>
      <c r="BJ205" t="n">
        <f>Q205*W205</f>
        <v>0</v>
      </c>
    </row>
    <row r="206">
      <c r="A206" t="n">
        <f>Charges!A206</f>
        <v>0</v>
      </c>
      <c r="B206" t="n">
        <f>Charges!C206</f>
        <v>0</v>
      </c>
      <c r="C206" t="str">
        <f>Charges!D206</f>
        <v/>
      </c>
      <c r="E206" t="n">
        <f>IF(1&lt;=Paramètres!$B$9,MAX(0,IFERROR(N(IF(ISNUMBER(Charges!F206),MAX(0,Charges!F206),IFERROR(VLOOKUP(Charges!F206,Paramètres!$A$15:$B$18,2,FALSE),0))),0)),0)</f>
        <v>0</v>
      </c>
      <c r="F206" t="n">
        <f>IF(2&lt;=Paramètres!$B$9,MAX(0,IFERROR(N(IF(ISNUMBER(Charges!G206),MAX(0,Charges!G206),IFERROR(VLOOKUP(Charges!G206,Paramètres!$A$15:$B$18,2,FALSE),0))),0)),0)</f>
        <v>0</v>
      </c>
      <c r="G206" t="n">
        <f>IF(3&lt;=Paramètres!$B$9,MAX(0,IFERROR(N(IF(ISNUMBER(Charges!H206),MAX(0,Charges!H206),IFERROR(VLOOKUP(Charges!H206,Paramètres!$A$15:$B$18,2,FALSE),0))),0)),0)</f>
        <v>0</v>
      </c>
      <c r="H206" t="n">
        <f>IF(4&lt;=Paramètres!$B$9,MAX(0,IFERROR(N(IF(ISNUMBER(Charges!I206),MAX(0,Charges!I206),IFERROR(VLOOKUP(Charges!I206,Paramètres!$A$15:$B$18,2,FALSE),0))),0)),0)</f>
        <v>0</v>
      </c>
      <c r="I206" t="n">
        <f>IF(5&lt;=Paramètres!$B$9,MAX(0,IFERROR(N(IF(ISNUMBER(Charges!J206),MAX(0,Charges!J206),IFERROR(VLOOKUP(Charges!J206,Paramètres!$A$15:$B$18,2,FALSE),0))),0)),0)</f>
        <v>0</v>
      </c>
      <c r="J206" t="n">
        <f>IF(6&lt;=Paramètres!$B$9,MAX(0,IFERROR(N(IF(ISNUMBER(Charges!K206),MAX(0,Charges!K206),IFERROR(VLOOKUP(Charges!K206,Paramètres!$A$15:$B$18,2,FALSE),0))),0)),0)</f>
        <v>0</v>
      </c>
      <c r="K206" t="n">
        <f>IF(7&lt;=Paramètres!$B$9,MAX(0,IFERROR(N(IF(ISNUMBER(Charges!L206),MAX(0,Charges!L206),IFERROR(VLOOKUP(Charges!L206,Paramètres!$A$15:$B$18,2,FALSE),0))),0)),0)</f>
        <v>0</v>
      </c>
      <c r="L206" t="n">
        <f>IF(8&lt;=Paramètres!$B$9,MAX(0,IFERROR(N(IF(ISNUMBER(Charges!M206),MAX(0,Charges!M206),IFERROR(VLOOKUP(Charges!M206,Paramètres!$A$15:$B$18,2,FALSE),0))),0)),0)</f>
        <v>0</v>
      </c>
      <c r="M206" t="n">
        <f>IF(9&lt;=Paramètres!$B$9,MAX(0,IFERROR(N(IF(ISNUMBER(Charges!N206),MAX(0,Charges!N206),IFERROR(VLOOKUP(Charges!N206,Paramètres!$A$15:$B$18,2,FALSE),0))),0)),0)</f>
        <v>0</v>
      </c>
      <c r="N206" t="n">
        <f>IF(10&lt;=Paramètres!$B$9,MAX(0,IFERROR(N(IF(ISNUMBER(Charges!O206),MAX(0,Charges!O206),IFERROR(VLOOKUP(Charges!O206,Paramètres!$A$15:$B$18,2,FALSE),0))),0)),0)</f>
        <v>0</v>
      </c>
      <c r="O206" t="n">
        <f>IF(11&lt;=Paramètres!$B$9,MAX(0,IFERROR(N(IF(ISNUMBER(Charges!P206),MAX(0,Charges!P206),IFERROR(VLOOKUP(Charges!P206,Paramètres!$A$15:$B$18,2,FALSE),0))),0)),0)</f>
        <v>0</v>
      </c>
      <c r="P206" t="n">
        <f>IF(12&lt;=Paramètres!$B$9,MAX(0,IFERROR(N(IF(ISNUMBER(Charges!Q206),MAX(0,Charges!Q206),IFERROR(VLOOKUP(Charges!Q206,Paramètres!$A$15:$B$18,2,FALSE),0))),0)),0)</f>
        <v>0</v>
      </c>
      <c r="Q206" t="n">
        <f>IF(13&lt;=Paramètres!$B$9,MAX(0,IFERROR(N(IF(ISNUMBER(Charges!R206),MAX(0,Charges!R206),IFERROR(VLOOKUP(Charges!R206,Paramètres!$A$15:$B$18,2,FALSE),0))),0)),0)</f>
        <v>0</v>
      </c>
      <c r="R206" t="n">
        <f>SUM(E206:Q206)</f>
        <v>0</v>
      </c>
      <c r="S206" t="n">
        <f>IF(IFERROR(VLOOKUP(A206,'Projets'!$A$8:$Z$67,7,FALSE),"")="Engager",1,0)</f>
        <v>0</v>
      </c>
      <c r="T206" t="n">
        <f>IF(OR(Charges!F206="",AND(ISNUMBER(Charges!F206),Charges!F206&gt;=0),Charges!F206="S",Charges!F206="M",Charges!F206="L",Charges!F206="XL"),0,1)+IF(OR(Charges!G206="",AND(ISNUMBER(Charges!G206),Charges!G206&gt;=0),Charges!G206="S",Charges!G206="M",Charges!G206="L",Charges!G206="XL"),0,1)+IF(OR(Charges!H206="",AND(ISNUMBER(Charges!H206),Charges!H206&gt;=0),Charges!H206="S",Charges!H206="M",Charges!H206="L",Charges!H206="XL"),0,1)+IF(OR(Charges!I206="",AND(ISNUMBER(Charges!I206),Charges!I206&gt;=0),Charges!I206="S",Charges!I206="M",Charges!I206="L",Charges!I206="XL"),0,1)+IF(OR(Charges!J206="",AND(ISNUMBER(Charges!J206),Charges!J206&gt;=0),Charges!J206="S",Charges!J206="M",Charges!J206="L",Charges!J206="XL"),0,1)+IF(OR(Charges!K206="",AND(ISNUMBER(Charges!K206),Charges!K206&gt;=0),Charges!K206="S",Charges!K206="M",Charges!K206="L",Charges!K206="XL"),0,1)+IF(OR(Charges!L206="",AND(ISNUMBER(Charges!L206),Charges!L206&gt;=0),Charges!L206="S",Charges!L206="M",Charges!L206="L",Charges!L206="XL"),0,1)+IF(OR(Charges!M206="",AND(ISNUMBER(Charges!M206),Charges!M206&gt;=0),Charges!M206="S",Charges!M206="M",Charges!M206="L",Charges!M206="XL"),0,1)+IF(OR(Charges!N206="",AND(ISNUMBER(Charges!N206),Charges!N206&gt;=0),Charges!N206="S",Charges!N206="M",Charges!N206="L",Charges!N206="XL"),0,1)+IF(OR(Charges!O206="",AND(ISNUMBER(Charges!O206),Charges!O206&gt;=0),Charges!O206="S",Charges!O206="M",Charges!O206="L",Charges!O206="XL"),0,1)+IF(OR(Charges!P206="",AND(ISNUMBER(Charges!P206),Charges!P206&gt;=0),Charges!P206="S",Charges!P206="M",Charges!P206="L",Charges!P206="XL"),0,1)+IF(OR(Charges!Q206="",AND(ISNUMBER(Charges!Q206),Charges!Q206&gt;=0),Charges!Q206="S",Charges!Q206="M",Charges!Q206="L",Charges!Q206="XL"),0,1)+IF(OR(Charges!R206="",AND(ISNUMBER(Charges!R206),Charges!R206&gt;=0),Charges!R206="S",Charges!R206="M",Charges!R206="L",Charges!R206="XL"),0,1)</f>
        <v>0</v>
      </c>
      <c r="U206" t="n">
        <f>IF(AND(1&gt;Paramètres!$B$9,Charges!F206&lt;&gt;"",Charges!F206&lt;&gt;0),1,0)+IF(AND(2&gt;Paramètres!$B$9,Charges!G206&lt;&gt;"",Charges!G206&lt;&gt;0),1,0)+IF(AND(3&gt;Paramètres!$B$9,Charges!H206&lt;&gt;"",Charges!H206&lt;&gt;0),1,0)+IF(AND(4&gt;Paramètres!$B$9,Charges!I206&lt;&gt;"",Charges!I206&lt;&gt;0),1,0)+IF(AND(5&gt;Paramètres!$B$9,Charges!J206&lt;&gt;"",Charges!J206&lt;&gt;0),1,0)+IF(AND(6&gt;Paramètres!$B$9,Charges!K206&lt;&gt;"",Charges!K206&lt;&gt;0),1,0)+IF(AND(7&gt;Paramètres!$B$9,Charges!L206&lt;&gt;"",Charges!L206&lt;&gt;0),1,0)+IF(AND(8&gt;Paramètres!$B$9,Charges!M206&lt;&gt;"",Charges!M206&lt;&gt;0),1,0)+IF(AND(9&gt;Paramètres!$B$9,Charges!N206&lt;&gt;"",Charges!N206&lt;&gt;0),1,0)+IF(AND(10&gt;Paramètres!$B$9,Charges!O206&lt;&gt;"",Charges!O206&lt;&gt;0),1,0)+IF(AND(11&gt;Paramètres!$B$9,Charges!P206&lt;&gt;"",Charges!P206&lt;&gt;0),1,0)+IF(AND(12&gt;Paramètres!$B$9,Charges!Q206&lt;&gt;"",Charges!Q206&lt;&gt;0),1,0)+IF(AND(13&gt;Paramètres!$B$9,Charges!R206&lt;&gt;"",Charges!R206&lt;&gt;0),1,0)</f>
        <v>0</v>
      </c>
      <c r="V206" t="n">
        <f>IF(IFERROR(VLOOKUP(A206,'Projets'!$A$8:$Z$67,5,FALSE),"")="Engager",1,0)</f>
        <v>0</v>
      </c>
      <c r="W206" t="n">
        <f>IF(IFERROR(VLOOKUP(A206,'Projets'!$A$8:$Z$67,6,FALSE),"")="Engager",1,0)</f>
        <v>0</v>
      </c>
      <c r="X206" t="n">
        <f>E206*S206</f>
        <v>0</v>
      </c>
      <c r="Y206" t="n">
        <f>F206*S206</f>
        <v>0</v>
      </c>
      <c r="Z206" t="n">
        <f>G206*S206</f>
        <v>0</v>
      </c>
      <c r="AA206" t="n">
        <f>H206*S206</f>
        <v>0</v>
      </c>
      <c r="AB206" t="n">
        <f>I206*S206</f>
        <v>0</v>
      </c>
      <c r="AC206" t="n">
        <f>J206*S206</f>
        <v>0</v>
      </c>
      <c r="AD206" t="n">
        <f>K206*S206</f>
        <v>0</v>
      </c>
      <c r="AE206" t="n">
        <f>L206*S206</f>
        <v>0</v>
      </c>
      <c r="AF206" t="n">
        <f>M206*S206</f>
        <v>0</v>
      </c>
      <c r="AG206" t="n">
        <f>N206*S206</f>
        <v>0</v>
      </c>
      <c r="AH206" t="n">
        <f>O206*S206</f>
        <v>0</v>
      </c>
      <c r="AI206" t="n">
        <f>P206*S206</f>
        <v>0</v>
      </c>
      <c r="AJ206" t="n">
        <f>Q206*S206</f>
        <v>0</v>
      </c>
      <c r="AK206" t="n">
        <f>E206*V206</f>
        <v>0</v>
      </c>
      <c r="AL206" t="n">
        <f>F206*V206</f>
        <v>0</v>
      </c>
      <c r="AM206" t="n">
        <f>G206*V206</f>
        <v>0</v>
      </c>
      <c r="AN206" t="n">
        <f>H206*V206</f>
        <v>0</v>
      </c>
      <c r="AO206" t="n">
        <f>I206*V206</f>
        <v>0</v>
      </c>
      <c r="AP206" t="n">
        <f>J206*V206</f>
        <v>0</v>
      </c>
      <c r="AQ206" t="n">
        <f>K206*V206</f>
        <v>0</v>
      </c>
      <c r="AR206" t="n">
        <f>L206*V206</f>
        <v>0</v>
      </c>
      <c r="AS206" t="n">
        <f>M206*V206</f>
        <v>0</v>
      </c>
      <c r="AT206" t="n">
        <f>N206*V206</f>
        <v>0</v>
      </c>
      <c r="AU206" t="n">
        <f>O206*V206</f>
        <v>0</v>
      </c>
      <c r="AV206" t="n">
        <f>P206*V206</f>
        <v>0</v>
      </c>
      <c r="AW206" t="n">
        <f>Q206*V206</f>
        <v>0</v>
      </c>
      <c r="AX206" t="n">
        <f>E206*W206</f>
        <v>0</v>
      </c>
      <c r="AY206" t="n">
        <f>F206*W206</f>
        <v>0</v>
      </c>
      <c r="AZ206" t="n">
        <f>G206*W206</f>
        <v>0</v>
      </c>
      <c r="BA206" t="n">
        <f>H206*W206</f>
        <v>0</v>
      </c>
      <c r="BB206" t="n">
        <f>I206*W206</f>
        <v>0</v>
      </c>
      <c r="BC206" t="n">
        <f>J206*W206</f>
        <v>0</v>
      </c>
      <c r="BD206" t="n">
        <f>K206*W206</f>
        <v>0</v>
      </c>
      <c r="BE206" t="n">
        <f>L206*W206</f>
        <v>0</v>
      </c>
      <c r="BF206" t="n">
        <f>M206*W206</f>
        <v>0</v>
      </c>
      <c r="BG206" t="n">
        <f>N206*W206</f>
        <v>0</v>
      </c>
      <c r="BH206" t="n">
        <f>O206*W206</f>
        <v>0</v>
      </c>
      <c r="BI206" t="n">
        <f>P206*W206</f>
        <v>0</v>
      </c>
      <c r="BJ206" t="n">
        <f>Q206*W206</f>
        <v>0</v>
      </c>
    </row>
    <row r="207">
      <c r="A207" t="n">
        <f>Charges!A207</f>
        <v>0</v>
      </c>
      <c r="B207" t="n">
        <f>Charges!C207</f>
        <v>0</v>
      </c>
      <c r="C207" t="str">
        <f>Charges!D207</f>
        <v/>
      </c>
      <c r="E207" t="n">
        <f>IF(1&lt;=Paramètres!$B$9,MAX(0,IFERROR(N(IF(ISNUMBER(Charges!F207),MAX(0,Charges!F207),IFERROR(VLOOKUP(Charges!F207,Paramètres!$A$15:$B$18,2,FALSE),0))),0)),0)</f>
        <v>0</v>
      </c>
      <c r="F207" t="n">
        <f>IF(2&lt;=Paramètres!$B$9,MAX(0,IFERROR(N(IF(ISNUMBER(Charges!G207),MAX(0,Charges!G207),IFERROR(VLOOKUP(Charges!G207,Paramètres!$A$15:$B$18,2,FALSE),0))),0)),0)</f>
        <v>0</v>
      </c>
      <c r="G207" t="n">
        <f>IF(3&lt;=Paramètres!$B$9,MAX(0,IFERROR(N(IF(ISNUMBER(Charges!H207),MAX(0,Charges!H207),IFERROR(VLOOKUP(Charges!H207,Paramètres!$A$15:$B$18,2,FALSE),0))),0)),0)</f>
        <v>0</v>
      </c>
      <c r="H207" t="n">
        <f>IF(4&lt;=Paramètres!$B$9,MAX(0,IFERROR(N(IF(ISNUMBER(Charges!I207),MAX(0,Charges!I207),IFERROR(VLOOKUP(Charges!I207,Paramètres!$A$15:$B$18,2,FALSE),0))),0)),0)</f>
        <v>0</v>
      </c>
      <c r="I207" t="n">
        <f>IF(5&lt;=Paramètres!$B$9,MAX(0,IFERROR(N(IF(ISNUMBER(Charges!J207),MAX(0,Charges!J207),IFERROR(VLOOKUP(Charges!J207,Paramètres!$A$15:$B$18,2,FALSE),0))),0)),0)</f>
        <v>0</v>
      </c>
      <c r="J207" t="n">
        <f>IF(6&lt;=Paramètres!$B$9,MAX(0,IFERROR(N(IF(ISNUMBER(Charges!K207),MAX(0,Charges!K207),IFERROR(VLOOKUP(Charges!K207,Paramètres!$A$15:$B$18,2,FALSE),0))),0)),0)</f>
        <v>0</v>
      </c>
      <c r="K207" t="n">
        <f>IF(7&lt;=Paramètres!$B$9,MAX(0,IFERROR(N(IF(ISNUMBER(Charges!L207),MAX(0,Charges!L207),IFERROR(VLOOKUP(Charges!L207,Paramètres!$A$15:$B$18,2,FALSE),0))),0)),0)</f>
        <v>0</v>
      </c>
      <c r="L207" t="n">
        <f>IF(8&lt;=Paramètres!$B$9,MAX(0,IFERROR(N(IF(ISNUMBER(Charges!M207),MAX(0,Charges!M207),IFERROR(VLOOKUP(Charges!M207,Paramètres!$A$15:$B$18,2,FALSE),0))),0)),0)</f>
        <v>0</v>
      </c>
      <c r="M207" t="n">
        <f>IF(9&lt;=Paramètres!$B$9,MAX(0,IFERROR(N(IF(ISNUMBER(Charges!N207),MAX(0,Charges!N207),IFERROR(VLOOKUP(Charges!N207,Paramètres!$A$15:$B$18,2,FALSE),0))),0)),0)</f>
        <v>0</v>
      </c>
      <c r="N207" t="n">
        <f>IF(10&lt;=Paramètres!$B$9,MAX(0,IFERROR(N(IF(ISNUMBER(Charges!O207),MAX(0,Charges!O207),IFERROR(VLOOKUP(Charges!O207,Paramètres!$A$15:$B$18,2,FALSE),0))),0)),0)</f>
        <v>0</v>
      </c>
      <c r="O207" t="n">
        <f>IF(11&lt;=Paramètres!$B$9,MAX(0,IFERROR(N(IF(ISNUMBER(Charges!P207),MAX(0,Charges!P207),IFERROR(VLOOKUP(Charges!P207,Paramètres!$A$15:$B$18,2,FALSE),0))),0)),0)</f>
        <v>0</v>
      </c>
      <c r="P207" t="n">
        <f>IF(12&lt;=Paramètres!$B$9,MAX(0,IFERROR(N(IF(ISNUMBER(Charges!Q207),MAX(0,Charges!Q207),IFERROR(VLOOKUP(Charges!Q207,Paramètres!$A$15:$B$18,2,FALSE),0))),0)),0)</f>
        <v>0</v>
      </c>
      <c r="Q207" t="n">
        <f>IF(13&lt;=Paramètres!$B$9,MAX(0,IFERROR(N(IF(ISNUMBER(Charges!R207),MAX(0,Charges!R207),IFERROR(VLOOKUP(Charges!R207,Paramètres!$A$15:$B$18,2,FALSE),0))),0)),0)</f>
        <v>0</v>
      </c>
      <c r="R207" t="n">
        <f>SUM(E207:Q207)</f>
        <v>0</v>
      </c>
      <c r="S207" t="n">
        <f>IF(IFERROR(VLOOKUP(A207,'Projets'!$A$8:$Z$67,7,FALSE),"")="Engager",1,0)</f>
        <v>0</v>
      </c>
      <c r="T207" t="n">
        <f>IF(OR(Charges!F207="",AND(ISNUMBER(Charges!F207),Charges!F207&gt;=0),Charges!F207="S",Charges!F207="M",Charges!F207="L",Charges!F207="XL"),0,1)+IF(OR(Charges!G207="",AND(ISNUMBER(Charges!G207),Charges!G207&gt;=0),Charges!G207="S",Charges!G207="M",Charges!G207="L",Charges!G207="XL"),0,1)+IF(OR(Charges!H207="",AND(ISNUMBER(Charges!H207),Charges!H207&gt;=0),Charges!H207="S",Charges!H207="M",Charges!H207="L",Charges!H207="XL"),0,1)+IF(OR(Charges!I207="",AND(ISNUMBER(Charges!I207),Charges!I207&gt;=0),Charges!I207="S",Charges!I207="M",Charges!I207="L",Charges!I207="XL"),0,1)+IF(OR(Charges!J207="",AND(ISNUMBER(Charges!J207),Charges!J207&gt;=0),Charges!J207="S",Charges!J207="M",Charges!J207="L",Charges!J207="XL"),0,1)+IF(OR(Charges!K207="",AND(ISNUMBER(Charges!K207),Charges!K207&gt;=0),Charges!K207="S",Charges!K207="M",Charges!K207="L",Charges!K207="XL"),0,1)+IF(OR(Charges!L207="",AND(ISNUMBER(Charges!L207),Charges!L207&gt;=0),Charges!L207="S",Charges!L207="M",Charges!L207="L",Charges!L207="XL"),0,1)+IF(OR(Charges!M207="",AND(ISNUMBER(Charges!M207),Charges!M207&gt;=0),Charges!M207="S",Charges!M207="M",Charges!M207="L",Charges!M207="XL"),0,1)+IF(OR(Charges!N207="",AND(ISNUMBER(Charges!N207),Charges!N207&gt;=0),Charges!N207="S",Charges!N207="M",Charges!N207="L",Charges!N207="XL"),0,1)+IF(OR(Charges!O207="",AND(ISNUMBER(Charges!O207),Charges!O207&gt;=0),Charges!O207="S",Charges!O207="M",Charges!O207="L",Charges!O207="XL"),0,1)+IF(OR(Charges!P207="",AND(ISNUMBER(Charges!P207),Charges!P207&gt;=0),Charges!P207="S",Charges!P207="M",Charges!P207="L",Charges!P207="XL"),0,1)+IF(OR(Charges!Q207="",AND(ISNUMBER(Charges!Q207),Charges!Q207&gt;=0),Charges!Q207="S",Charges!Q207="M",Charges!Q207="L",Charges!Q207="XL"),0,1)+IF(OR(Charges!R207="",AND(ISNUMBER(Charges!R207),Charges!R207&gt;=0),Charges!R207="S",Charges!R207="M",Charges!R207="L",Charges!R207="XL"),0,1)</f>
        <v>0</v>
      </c>
      <c r="U207" t="n">
        <f>IF(AND(1&gt;Paramètres!$B$9,Charges!F207&lt;&gt;"",Charges!F207&lt;&gt;0),1,0)+IF(AND(2&gt;Paramètres!$B$9,Charges!G207&lt;&gt;"",Charges!G207&lt;&gt;0),1,0)+IF(AND(3&gt;Paramètres!$B$9,Charges!H207&lt;&gt;"",Charges!H207&lt;&gt;0),1,0)+IF(AND(4&gt;Paramètres!$B$9,Charges!I207&lt;&gt;"",Charges!I207&lt;&gt;0),1,0)+IF(AND(5&gt;Paramètres!$B$9,Charges!J207&lt;&gt;"",Charges!J207&lt;&gt;0),1,0)+IF(AND(6&gt;Paramètres!$B$9,Charges!K207&lt;&gt;"",Charges!K207&lt;&gt;0),1,0)+IF(AND(7&gt;Paramètres!$B$9,Charges!L207&lt;&gt;"",Charges!L207&lt;&gt;0),1,0)+IF(AND(8&gt;Paramètres!$B$9,Charges!M207&lt;&gt;"",Charges!M207&lt;&gt;0),1,0)+IF(AND(9&gt;Paramètres!$B$9,Charges!N207&lt;&gt;"",Charges!N207&lt;&gt;0),1,0)+IF(AND(10&gt;Paramètres!$B$9,Charges!O207&lt;&gt;"",Charges!O207&lt;&gt;0),1,0)+IF(AND(11&gt;Paramètres!$B$9,Charges!P207&lt;&gt;"",Charges!P207&lt;&gt;0),1,0)+IF(AND(12&gt;Paramètres!$B$9,Charges!Q207&lt;&gt;"",Charges!Q207&lt;&gt;0),1,0)+IF(AND(13&gt;Paramètres!$B$9,Charges!R207&lt;&gt;"",Charges!R207&lt;&gt;0),1,0)</f>
        <v>0</v>
      </c>
      <c r="V207" t="n">
        <f>IF(IFERROR(VLOOKUP(A207,'Projets'!$A$8:$Z$67,5,FALSE),"")="Engager",1,0)</f>
        <v>0</v>
      </c>
      <c r="W207" t="n">
        <f>IF(IFERROR(VLOOKUP(A207,'Projets'!$A$8:$Z$67,6,FALSE),"")="Engager",1,0)</f>
        <v>0</v>
      </c>
      <c r="X207" t="n">
        <f>E207*S207</f>
        <v>0</v>
      </c>
      <c r="Y207" t="n">
        <f>F207*S207</f>
        <v>0</v>
      </c>
      <c r="Z207" t="n">
        <f>G207*S207</f>
        <v>0</v>
      </c>
      <c r="AA207" t="n">
        <f>H207*S207</f>
        <v>0</v>
      </c>
      <c r="AB207" t="n">
        <f>I207*S207</f>
        <v>0</v>
      </c>
      <c r="AC207" t="n">
        <f>J207*S207</f>
        <v>0</v>
      </c>
      <c r="AD207" t="n">
        <f>K207*S207</f>
        <v>0</v>
      </c>
      <c r="AE207" t="n">
        <f>L207*S207</f>
        <v>0</v>
      </c>
      <c r="AF207" t="n">
        <f>M207*S207</f>
        <v>0</v>
      </c>
      <c r="AG207" t="n">
        <f>N207*S207</f>
        <v>0</v>
      </c>
      <c r="AH207" t="n">
        <f>O207*S207</f>
        <v>0</v>
      </c>
      <c r="AI207" t="n">
        <f>P207*S207</f>
        <v>0</v>
      </c>
      <c r="AJ207" t="n">
        <f>Q207*S207</f>
        <v>0</v>
      </c>
      <c r="AK207" t="n">
        <f>E207*V207</f>
        <v>0</v>
      </c>
      <c r="AL207" t="n">
        <f>F207*V207</f>
        <v>0</v>
      </c>
      <c r="AM207" t="n">
        <f>G207*V207</f>
        <v>0</v>
      </c>
      <c r="AN207" t="n">
        <f>H207*V207</f>
        <v>0</v>
      </c>
      <c r="AO207" t="n">
        <f>I207*V207</f>
        <v>0</v>
      </c>
      <c r="AP207" t="n">
        <f>J207*V207</f>
        <v>0</v>
      </c>
      <c r="AQ207" t="n">
        <f>K207*V207</f>
        <v>0</v>
      </c>
      <c r="AR207" t="n">
        <f>L207*V207</f>
        <v>0</v>
      </c>
      <c r="AS207" t="n">
        <f>M207*V207</f>
        <v>0</v>
      </c>
      <c r="AT207" t="n">
        <f>N207*V207</f>
        <v>0</v>
      </c>
      <c r="AU207" t="n">
        <f>O207*V207</f>
        <v>0</v>
      </c>
      <c r="AV207" t="n">
        <f>P207*V207</f>
        <v>0</v>
      </c>
      <c r="AW207" t="n">
        <f>Q207*V207</f>
        <v>0</v>
      </c>
      <c r="AX207" t="n">
        <f>E207*W207</f>
        <v>0</v>
      </c>
      <c r="AY207" t="n">
        <f>F207*W207</f>
        <v>0</v>
      </c>
      <c r="AZ207" t="n">
        <f>G207*W207</f>
        <v>0</v>
      </c>
      <c r="BA207" t="n">
        <f>H207*W207</f>
        <v>0</v>
      </c>
      <c r="BB207" t="n">
        <f>I207*W207</f>
        <v>0</v>
      </c>
      <c r="BC207" t="n">
        <f>J207*W207</f>
        <v>0</v>
      </c>
      <c r="BD207" t="n">
        <f>K207*W207</f>
        <v>0</v>
      </c>
      <c r="BE207" t="n">
        <f>L207*W207</f>
        <v>0</v>
      </c>
      <c r="BF207" t="n">
        <f>M207*W207</f>
        <v>0</v>
      </c>
      <c r="BG207" t="n">
        <f>N207*W207</f>
        <v>0</v>
      </c>
      <c r="BH207" t="n">
        <f>O207*W207</f>
        <v>0</v>
      </c>
      <c r="BI207" t="n">
        <f>P207*W207</f>
        <v>0</v>
      </c>
      <c r="BJ207" t="n">
        <f>Q207*W207</f>
        <v>0</v>
      </c>
    </row>
    <row r="208">
      <c r="A208" t="n">
        <f>Charges!A208</f>
        <v>0</v>
      </c>
      <c r="B208" t="n">
        <f>Charges!C208</f>
        <v>0</v>
      </c>
      <c r="C208" t="str">
        <f>Charges!D208</f>
        <v/>
      </c>
      <c r="E208" t="n">
        <f>IF(1&lt;=Paramètres!$B$9,MAX(0,IFERROR(N(IF(ISNUMBER(Charges!F208),MAX(0,Charges!F208),IFERROR(VLOOKUP(Charges!F208,Paramètres!$A$15:$B$18,2,FALSE),0))),0)),0)</f>
        <v>0</v>
      </c>
      <c r="F208" t="n">
        <f>IF(2&lt;=Paramètres!$B$9,MAX(0,IFERROR(N(IF(ISNUMBER(Charges!G208),MAX(0,Charges!G208),IFERROR(VLOOKUP(Charges!G208,Paramètres!$A$15:$B$18,2,FALSE),0))),0)),0)</f>
        <v>0</v>
      </c>
      <c r="G208" t="n">
        <f>IF(3&lt;=Paramètres!$B$9,MAX(0,IFERROR(N(IF(ISNUMBER(Charges!H208),MAX(0,Charges!H208),IFERROR(VLOOKUP(Charges!H208,Paramètres!$A$15:$B$18,2,FALSE),0))),0)),0)</f>
        <v>0</v>
      </c>
      <c r="H208" t="n">
        <f>IF(4&lt;=Paramètres!$B$9,MAX(0,IFERROR(N(IF(ISNUMBER(Charges!I208),MAX(0,Charges!I208),IFERROR(VLOOKUP(Charges!I208,Paramètres!$A$15:$B$18,2,FALSE),0))),0)),0)</f>
        <v>0</v>
      </c>
      <c r="I208" t="n">
        <f>IF(5&lt;=Paramètres!$B$9,MAX(0,IFERROR(N(IF(ISNUMBER(Charges!J208),MAX(0,Charges!J208),IFERROR(VLOOKUP(Charges!J208,Paramètres!$A$15:$B$18,2,FALSE),0))),0)),0)</f>
        <v>0</v>
      </c>
      <c r="J208" t="n">
        <f>IF(6&lt;=Paramètres!$B$9,MAX(0,IFERROR(N(IF(ISNUMBER(Charges!K208),MAX(0,Charges!K208),IFERROR(VLOOKUP(Charges!K208,Paramètres!$A$15:$B$18,2,FALSE),0))),0)),0)</f>
        <v>0</v>
      </c>
      <c r="K208" t="n">
        <f>IF(7&lt;=Paramètres!$B$9,MAX(0,IFERROR(N(IF(ISNUMBER(Charges!L208),MAX(0,Charges!L208),IFERROR(VLOOKUP(Charges!L208,Paramètres!$A$15:$B$18,2,FALSE),0))),0)),0)</f>
        <v>0</v>
      </c>
      <c r="L208" t="n">
        <f>IF(8&lt;=Paramètres!$B$9,MAX(0,IFERROR(N(IF(ISNUMBER(Charges!M208),MAX(0,Charges!M208),IFERROR(VLOOKUP(Charges!M208,Paramètres!$A$15:$B$18,2,FALSE),0))),0)),0)</f>
        <v>0</v>
      </c>
      <c r="M208" t="n">
        <f>IF(9&lt;=Paramètres!$B$9,MAX(0,IFERROR(N(IF(ISNUMBER(Charges!N208),MAX(0,Charges!N208),IFERROR(VLOOKUP(Charges!N208,Paramètres!$A$15:$B$18,2,FALSE),0))),0)),0)</f>
        <v>0</v>
      </c>
      <c r="N208" t="n">
        <f>IF(10&lt;=Paramètres!$B$9,MAX(0,IFERROR(N(IF(ISNUMBER(Charges!O208),MAX(0,Charges!O208),IFERROR(VLOOKUP(Charges!O208,Paramètres!$A$15:$B$18,2,FALSE),0))),0)),0)</f>
        <v>0</v>
      </c>
      <c r="O208" t="n">
        <f>IF(11&lt;=Paramètres!$B$9,MAX(0,IFERROR(N(IF(ISNUMBER(Charges!P208),MAX(0,Charges!P208),IFERROR(VLOOKUP(Charges!P208,Paramètres!$A$15:$B$18,2,FALSE),0))),0)),0)</f>
        <v>0</v>
      </c>
      <c r="P208" t="n">
        <f>IF(12&lt;=Paramètres!$B$9,MAX(0,IFERROR(N(IF(ISNUMBER(Charges!Q208),MAX(0,Charges!Q208),IFERROR(VLOOKUP(Charges!Q208,Paramètres!$A$15:$B$18,2,FALSE),0))),0)),0)</f>
        <v>0</v>
      </c>
      <c r="Q208" t="n">
        <f>IF(13&lt;=Paramètres!$B$9,MAX(0,IFERROR(N(IF(ISNUMBER(Charges!R208),MAX(0,Charges!R208),IFERROR(VLOOKUP(Charges!R208,Paramètres!$A$15:$B$18,2,FALSE),0))),0)),0)</f>
        <v>0</v>
      </c>
      <c r="R208" t="n">
        <f>SUM(E208:Q208)</f>
        <v>0</v>
      </c>
      <c r="S208" t="n">
        <f>IF(IFERROR(VLOOKUP(A208,'Projets'!$A$8:$Z$67,7,FALSE),"")="Engager",1,0)</f>
        <v>0</v>
      </c>
      <c r="T208" t="n">
        <f>IF(OR(Charges!F208="",AND(ISNUMBER(Charges!F208),Charges!F208&gt;=0),Charges!F208="S",Charges!F208="M",Charges!F208="L",Charges!F208="XL"),0,1)+IF(OR(Charges!G208="",AND(ISNUMBER(Charges!G208),Charges!G208&gt;=0),Charges!G208="S",Charges!G208="M",Charges!G208="L",Charges!G208="XL"),0,1)+IF(OR(Charges!H208="",AND(ISNUMBER(Charges!H208),Charges!H208&gt;=0),Charges!H208="S",Charges!H208="M",Charges!H208="L",Charges!H208="XL"),0,1)+IF(OR(Charges!I208="",AND(ISNUMBER(Charges!I208),Charges!I208&gt;=0),Charges!I208="S",Charges!I208="M",Charges!I208="L",Charges!I208="XL"),0,1)+IF(OR(Charges!J208="",AND(ISNUMBER(Charges!J208),Charges!J208&gt;=0),Charges!J208="S",Charges!J208="M",Charges!J208="L",Charges!J208="XL"),0,1)+IF(OR(Charges!K208="",AND(ISNUMBER(Charges!K208),Charges!K208&gt;=0),Charges!K208="S",Charges!K208="M",Charges!K208="L",Charges!K208="XL"),0,1)+IF(OR(Charges!L208="",AND(ISNUMBER(Charges!L208),Charges!L208&gt;=0),Charges!L208="S",Charges!L208="M",Charges!L208="L",Charges!L208="XL"),0,1)+IF(OR(Charges!M208="",AND(ISNUMBER(Charges!M208),Charges!M208&gt;=0),Charges!M208="S",Charges!M208="M",Charges!M208="L",Charges!M208="XL"),0,1)+IF(OR(Charges!N208="",AND(ISNUMBER(Charges!N208),Charges!N208&gt;=0),Charges!N208="S",Charges!N208="M",Charges!N208="L",Charges!N208="XL"),0,1)+IF(OR(Charges!O208="",AND(ISNUMBER(Charges!O208),Charges!O208&gt;=0),Charges!O208="S",Charges!O208="M",Charges!O208="L",Charges!O208="XL"),0,1)+IF(OR(Charges!P208="",AND(ISNUMBER(Charges!P208),Charges!P208&gt;=0),Charges!P208="S",Charges!P208="M",Charges!P208="L",Charges!P208="XL"),0,1)+IF(OR(Charges!Q208="",AND(ISNUMBER(Charges!Q208),Charges!Q208&gt;=0),Charges!Q208="S",Charges!Q208="M",Charges!Q208="L",Charges!Q208="XL"),0,1)+IF(OR(Charges!R208="",AND(ISNUMBER(Charges!R208),Charges!R208&gt;=0),Charges!R208="S",Charges!R208="M",Charges!R208="L",Charges!R208="XL"),0,1)</f>
        <v>0</v>
      </c>
      <c r="U208" t="n">
        <f>IF(AND(1&gt;Paramètres!$B$9,Charges!F208&lt;&gt;"",Charges!F208&lt;&gt;0),1,0)+IF(AND(2&gt;Paramètres!$B$9,Charges!G208&lt;&gt;"",Charges!G208&lt;&gt;0),1,0)+IF(AND(3&gt;Paramètres!$B$9,Charges!H208&lt;&gt;"",Charges!H208&lt;&gt;0),1,0)+IF(AND(4&gt;Paramètres!$B$9,Charges!I208&lt;&gt;"",Charges!I208&lt;&gt;0),1,0)+IF(AND(5&gt;Paramètres!$B$9,Charges!J208&lt;&gt;"",Charges!J208&lt;&gt;0),1,0)+IF(AND(6&gt;Paramètres!$B$9,Charges!K208&lt;&gt;"",Charges!K208&lt;&gt;0),1,0)+IF(AND(7&gt;Paramètres!$B$9,Charges!L208&lt;&gt;"",Charges!L208&lt;&gt;0),1,0)+IF(AND(8&gt;Paramètres!$B$9,Charges!M208&lt;&gt;"",Charges!M208&lt;&gt;0),1,0)+IF(AND(9&gt;Paramètres!$B$9,Charges!N208&lt;&gt;"",Charges!N208&lt;&gt;0),1,0)+IF(AND(10&gt;Paramètres!$B$9,Charges!O208&lt;&gt;"",Charges!O208&lt;&gt;0),1,0)+IF(AND(11&gt;Paramètres!$B$9,Charges!P208&lt;&gt;"",Charges!P208&lt;&gt;0),1,0)+IF(AND(12&gt;Paramètres!$B$9,Charges!Q208&lt;&gt;"",Charges!Q208&lt;&gt;0),1,0)+IF(AND(13&gt;Paramètres!$B$9,Charges!R208&lt;&gt;"",Charges!R208&lt;&gt;0),1,0)</f>
        <v>0</v>
      </c>
      <c r="V208" t="n">
        <f>IF(IFERROR(VLOOKUP(A208,'Projets'!$A$8:$Z$67,5,FALSE),"")="Engager",1,0)</f>
        <v>0</v>
      </c>
      <c r="W208" t="n">
        <f>IF(IFERROR(VLOOKUP(A208,'Projets'!$A$8:$Z$67,6,FALSE),"")="Engager",1,0)</f>
        <v>0</v>
      </c>
      <c r="X208" t="n">
        <f>E208*S208</f>
        <v>0</v>
      </c>
      <c r="Y208" t="n">
        <f>F208*S208</f>
        <v>0</v>
      </c>
      <c r="Z208" t="n">
        <f>G208*S208</f>
        <v>0</v>
      </c>
      <c r="AA208" t="n">
        <f>H208*S208</f>
        <v>0</v>
      </c>
      <c r="AB208" t="n">
        <f>I208*S208</f>
        <v>0</v>
      </c>
      <c r="AC208" t="n">
        <f>J208*S208</f>
        <v>0</v>
      </c>
      <c r="AD208" t="n">
        <f>K208*S208</f>
        <v>0</v>
      </c>
      <c r="AE208" t="n">
        <f>L208*S208</f>
        <v>0</v>
      </c>
      <c r="AF208" t="n">
        <f>M208*S208</f>
        <v>0</v>
      </c>
      <c r="AG208" t="n">
        <f>N208*S208</f>
        <v>0</v>
      </c>
      <c r="AH208" t="n">
        <f>O208*S208</f>
        <v>0</v>
      </c>
      <c r="AI208" t="n">
        <f>P208*S208</f>
        <v>0</v>
      </c>
      <c r="AJ208" t="n">
        <f>Q208*S208</f>
        <v>0</v>
      </c>
      <c r="AK208" t="n">
        <f>E208*V208</f>
        <v>0</v>
      </c>
      <c r="AL208" t="n">
        <f>F208*V208</f>
        <v>0</v>
      </c>
      <c r="AM208" t="n">
        <f>G208*V208</f>
        <v>0</v>
      </c>
      <c r="AN208" t="n">
        <f>H208*V208</f>
        <v>0</v>
      </c>
      <c r="AO208" t="n">
        <f>I208*V208</f>
        <v>0</v>
      </c>
      <c r="AP208" t="n">
        <f>J208*V208</f>
        <v>0</v>
      </c>
      <c r="AQ208" t="n">
        <f>K208*V208</f>
        <v>0</v>
      </c>
      <c r="AR208" t="n">
        <f>L208*V208</f>
        <v>0</v>
      </c>
      <c r="AS208" t="n">
        <f>M208*V208</f>
        <v>0</v>
      </c>
      <c r="AT208" t="n">
        <f>N208*V208</f>
        <v>0</v>
      </c>
      <c r="AU208" t="n">
        <f>O208*V208</f>
        <v>0</v>
      </c>
      <c r="AV208" t="n">
        <f>P208*V208</f>
        <v>0</v>
      </c>
      <c r="AW208" t="n">
        <f>Q208*V208</f>
        <v>0</v>
      </c>
      <c r="AX208" t="n">
        <f>E208*W208</f>
        <v>0</v>
      </c>
      <c r="AY208" t="n">
        <f>F208*W208</f>
        <v>0</v>
      </c>
      <c r="AZ208" t="n">
        <f>G208*W208</f>
        <v>0</v>
      </c>
      <c r="BA208" t="n">
        <f>H208*W208</f>
        <v>0</v>
      </c>
      <c r="BB208" t="n">
        <f>I208*W208</f>
        <v>0</v>
      </c>
      <c r="BC208" t="n">
        <f>J208*W208</f>
        <v>0</v>
      </c>
      <c r="BD208" t="n">
        <f>K208*W208</f>
        <v>0</v>
      </c>
      <c r="BE208" t="n">
        <f>L208*W208</f>
        <v>0</v>
      </c>
      <c r="BF208" t="n">
        <f>M208*W208</f>
        <v>0</v>
      </c>
      <c r="BG208" t="n">
        <f>N208*W208</f>
        <v>0</v>
      </c>
      <c r="BH208" t="n">
        <f>O208*W208</f>
        <v>0</v>
      </c>
      <c r="BI208" t="n">
        <f>P208*W208</f>
        <v>0</v>
      </c>
      <c r="BJ208" t="n">
        <f>Q208*W208</f>
        <v>0</v>
      </c>
    </row>
    <row r="209">
      <c r="A209" t="n">
        <f>Charges!A209</f>
        <v>0</v>
      </c>
      <c r="B209" t="n">
        <f>Charges!C209</f>
        <v>0</v>
      </c>
      <c r="C209" t="str">
        <f>Charges!D209</f>
        <v/>
      </c>
      <c r="E209" t="n">
        <f>IF(1&lt;=Paramètres!$B$9,MAX(0,IFERROR(N(IF(ISNUMBER(Charges!F209),MAX(0,Charges!F209),IFERROR(VLOOKUP(Charges!F209,Paramètres!$A$15:$B$18,2,FALSE),0))),0)),0)</f>
        <v>0</v>
      </c>
      <c r="F209" t="n">
        <f>IF(2&lt;=Paramètres!$B$9,MAX(0,IFERROR(N(IF(ISNUMBER(Charges!G209),MAX(0,Charges!G209),IFERROR(VLOOKUP(Charges!G209,Paramètres!$A$15:$B$18,2,FALSE),0))),0)),0)</f>
        <v>0</v>
      </c>
      <c r="G209" t="n">
        <f>IF(3&lt;=Paramètres!$B$9,MAX(0,IFERROR(N(IF(ISNUMBER(Charges!H209),MAX(0,Charges!H209),IFERROR(VLOOKUP(Charges!H209,Paramètres!$A$15:$B$18,2,FALSE),0))),0)),0)</f>
        <v>0</v>
      </c>
      <c r="H209" t="n">
        <f>IF(4&lt;=Paramètres!$B$9,MAX(0,IFERROR(N(IF(ISNUMBER(Charges!I209),MAX(0,Charges!I209),IFERROR(VLOOKUP(Charges!I209,Paramètres!$A$15:$B$18,2,FALSE),0))),0)),0)</f>
        <v>0</v>
      </c>
      <c r="I209" t="n">
        <f>IF(5&lt;=Paramètres!$B$9,MAX(0,IFERROR(N(IF(ISNUMBER(Charges!J209),MAX(0,Charges!J209),IFERROR(VLOOKUP(Charges!J209,Paramètres!$A$15:$B$18,2,FALSE),0))),0)),0)</f>
        <v>0</v>
      </c>
      <c r="J209" t="n">
        <f>IF(6&lt;=Paramètres!$B$9,MAX(0,IFERROR(N(IF(ISNUMBER(Charges!K209),MAX(0,Charges!K209),IFERROR(VLOOKUP(Charges!K209,Paramètres!$A$15:$B$18,2,FALSE),0))),0)),0)</f>
        <v>0</v>
      </c>
      <c r="K209" t="n">
        <f>IF(7&lt;=Paramètres!$B$9,MAX(0,IFERROR(N(IF(ISNUMBER(Charges!L209),MAX(0,Charges!L209),IFERROR(VLOOKUP(Charges!L209,Paramètres!$A$15:$B$18,2,FALSE),0))),0)),0)</f>
        <v>0</v>
      </c>
      <c r="L209" t="n">
        <f>IF(8&lt;=Paramètres!$B$9,MAX(0,IFERROR(N(IF(ISNUMBER(Charges!M209),MAX(0,Charges!M209),IFERROR(VLOOKUP(Charges!M209,Paramètres!$A$15:$B$18,2,FALSE),0))),0)),0)</f>
        <v>0</v>
      </c>
      <c r="M209" t="n">
        <f>IF(9&lt;=Paramètres!$B$9,MAX(0,IFERROR(N(IF(ISNUMBER(Charges!N209),MAX(0,Charges!N209),IFERROR(VLOOKUP(Charges!N209,Paramètres!$A$15:$B$18,2,FALSE),0))),0)),0)</f>
        <v>0</v>
      </c>
      <c r="N209" t="n">
        <f>IF(10&lt;=Paramètres!$B$9,MAX(0,IFERROR(N(IF(ISNUMBER(Charges!O209),MAX(0,Charges!O209),IFERROR(VLOOKUP(Charges!O209,Paramètres!$A$15:$B$18,2,FALSE),0))),0)),0)</f>
        <v>0</v>
      </c>
      <c r="O209" t="n">
        <f>IF(11&lt;=Paramètres!$B$9,MAX(0,IFERROR(N(IF(ISNUMBER(Charges!P209),MAX(0,Charges!P209),IFERROR(VLOOKUP(Charges!P209,Paramètres!$A$15:$B$18,2,FALSE),0))),0)),0)</f>
        <v>0</v>
      </c>
      <c r="P209" t="n">
        <f>IF(12&lt;=Paramètres!$B$9,MAX(0,IFERROR(N(IF(ISNUMBER(Charges!Q209),MAX(0,Charges!Q209),IFERROR(VLOOKUP(Charges!Q209,Paramètres!$A$15:$B$18,2,FALSE),0))),0)),0)</f>
        <v>0</v>
      </c>
      <c r="Q209" t="n">
        <f>IF(13&lt;=Paramètres!$B$9,MAX(0,IFERROR(N(IF(ISNUMBER(Charges!R209),MAX(0,Charges!R209),IFERROR(VLOOKUP(Charges!R209,Paramètres!$A$15:$B$18,2,FALSE),0))),0)),0)</f>
        <v>0</v>
      </c>
      <c r="R209" t="n">
        <f>SUM(E209:Q209)</f>
        <v>0</v>
      </c>
      <c r="S209" t="n">
        <f>IF(IFERROR(VLOOKUP(A209,'Projets'!$A$8:$Z$67,7,FALSE),"")="Engager",1,0)</f>
        <v>0</v>
      </c>
      <c r="T209" t="n">
        <f>IF(OR(Charges!F209="",AND(ISNUMBER(Charges!F209),Charges!F209&gt;=0),Charges!F209="S",Charges!F209="M",Charges!F209="L",Charges!F209="XL"),0,1)+IF(OR(Charges!G209="",AND(ISNUMBER(Charges!G209),Charges!G209&gt;=0),Charges!G209="S",Charges!G209="M",Charges!G209="L",Charges!G209="XL"),0,1)+IF(OR(Charges!H209="",AND(ISNUMBER(Charges!H209),Charges!H209&gt;=0),Charges!H209="S",Charges!H209="M",Charges!H209="L",Charges!H209="XL"),0,1)+IF(OR(Charges!I209="",AND(ISNUMBER(Charges!I209),Charges!I209&gt;=0),Charges!I209="S",Charges!I209="M",Charges!I209="L",Charges!I209="XL"),0,1)+IF(OR(Charges!J209="",AND(ISNUMBER(Charges!J209),Charges!J209&gt;=0),Charges!J209="S",Charges!J209="M",Charges!J209="L",Charges!J209="XL"),0,1)+IF(OR(Charges!K209="",AND(ISNUMBER(Charges!K209),Charges!K209&gt;=0),Charges!K209="S",Charges!K209="M",Charges!K209="L",Charges!K209="XL"),0,1)+IF(OR(Charges!L209="",AND(ISNUMBER(Charges!L209),Charges!L209&gt;=0),Charges!L209="S",Charges!L209="M",Charges!L209="L",Charges!L209="XL"),0,1)+IF(OR(Charges!M209="",AND(ISNUMBER(Charges!M209),Charges!M209&gt;=0),Charges!M209="S",Charges!M209="M",Charges!M209="L",Charges!M209="XL"),0,1)+IF(OR(Charges!N209="",AND(ISNUMBER(Charges!N209),Charges!N209&gt;=0),Charges!N209="S",Charges!N209="M",Charges!N209="L",Charges!N209="XL"),0,1)+IF(OR(Charges!O209="",AND(ISNUMBER(Charges!O209),Charges!O209&gt;=0),Charges!O209="S",Charges!O209="M",Charges!O209="L",Charges!O209="XL"),0,1)+IF(OR(Charges!P209="",AND(ISNUMBER(Charges!P209),Charges!P209&gt;=0),Charges!P209="S",Charges!P209="M",Charges!P209="L",Charges!P209="XL"),0,1)+IF(OR(Charges!Q209="",AND(ISNUMBER(Charges!Q209),Charges!Q209&gt;=0),Charges!Q209="S",Charges!Q209="M",Charges!Q209="L",Charges!Q209="XL"),0,1)+IF(OR(Charges!R209="",AND(ISNUMBER(Charges!R209),Charges!R209&gt;=0),Charges!R209="S",Charges!R209="M",Charges!R209="L",Charges!R209="XL"),0,1)</f>
        <v>0</v>
      </c>
      <c r="U209" t="n">
        <f>IF(AND(1&gt;Paramètres!$B$9,Charges!F209&lt;&gt;"",Charges!F209&lt;&gt;0),1,0)+IF(AND(2&gt;Paramètres!$B$9,Charges!G209&lt;&gt;"",Charges!G209&lt;&gt;0),1,0)+IF(AND(3&gt;Paramètres!$B$9,Charges!H209&lt;&gt;"",Charges!H209&lt;&gt;0),1,0)+IF(AND(4&gt;Paramètres!$B$9,Charges!I209&lt;&gt;"",Charges!I209&lt;&gt;0),1,0)+IF(AND(5&gt;Paramètres!$B$9,Charges!J209&lt;&gt;"",Charges!J209&lt;&gt;0),1,0)+IF(AND(6&gt;Paramètres!$B$9,Charges!K209&lt;&gt;"",Charges!K209&lt;&gt;0),1,0)+IF(AND(7&gt;Paramètres!$B$9,Charges!L209&lt;&gt;"",Charges!L209&lt;&gt;0),1,0)+IF(AND(8&gt;Paramètres!$B$9,Charges!M209&lt;&gt;"",Charges!M209&lt;&gt;0),1,0)+IF(AND(9&gt;Paramètres!$B$9,Charges!N209&lt;&gt;"",Charges!N209&lt;&gt;0),1,0)+IF(AND(10&gt;Paramètres!$B$9,Charges!O209&lt;&gt;"",Charges!O209&lt;&gt;0),1,0)+IF(AND(11&gt;Paramètres!$B$9,Charges!P209&lt;&gt;"",Charges!P209&lt;&gt;0),1,0)+IF(AND(12&gt;Paramètres!$B$9,Charges!Q209&lt;&gt;"",Charges!Q209&lt;&gt;0),1,0)+IF(AND(13&gt;Paramètres!$B$9,Charges!R209&lt;&gt;"",Charges!R209&lt;&gt;0),1,0)</f>
        <v>0</v>
      </c>
      <c r="V209" t="n">
        <f>IF(IFERROR(VLOOKUP(A209,'Projets'!$A$8:$Z$67,5,FALSE),"")="Engager",1,0)</f>
        <v>0</v>
      </c>
      <c r="W209" t="n">
        <f>IF(IFERROR(VLOOKUP(A209,'Projets'!$A$8:$Z$67,6,FALSE),"")="Engager",1,0)</f>
        <v>0</v>
      </c>
      <c r="X209" t="n">
        <f>E209*S209</f>
        <v>0</v>
      </c>
      <c r="Y209" t="n">
        <f>F209*S209</f>
        <v>0</v>
      </c>
      <c r="Z209" t="n">
        <f>G209*S209</f>
        <v>0</v>
      </c>
      <c r="AA209" t="n">
        <f>H209*S209</f>
        <v>0</v>
      </c>
      <c r="AB209" t="n">
        <f>I209*S209</f>
        <v>0</v>
      </c>
      <c r="AC209" t="n">
        <f>J209*S209</f>
        <v>0</v>
      </c>
      <c r="AD209" t="n">
        <f>K209*S209</f>
        <v>0</v>
      </c>
      <c r="AE209" t="n">
        <f>L209*S209</f>
        <v>0</v>
      </c>
      <c r="AF209" t="n">
        <f>M209*S209</f>
        <v>0</v>
      </c>
      <c r="AG209" t="n">
        <f>N209*S209</f>
        <v>0</v>
      </c>
      <c r="AH209" t="n">
        <f>O209*S209</f>
        <v>0</v>
      </c>
      <c r="AI209" t="n">
        <f>P209*S209</f>
        <v>0</v>
      </c>
      <c r="AJ209" t="n">
        <f>Q209*S209</f>
        <v>0</v>
      </c>
      <c r="AK209" t="n">
        <f>E209*V209</f>
        <v>0</v>
      </c>
      <c r="AL209" t="n">
        <f>F209*V209</f>
        <v>0</v>
      </c>
      <c r="AM209" t="n">
        <f>G209*V209</f>
        <v>0</v>
      </c>
      <c r="AN209" t="n">
        <f>H209*V209</f>
        <v>0</v>
      </c>
      <c r="AO209" t="n">
        <f>I209*V209</f>
        <v>0</v>
      </c>
      <c r="AP209" t="n">
        <f>J209*V209</f>
        <v>0</v>
      </c>
      <c r="AQ209" t="n">
        <f>K209*V209</f>
        <v>0</v>
      </c>
      <c r="AR209" t="n">
        <f>L209*V209</f>
        <v>0</v>
      </c>
      <c r="AS209" t="n">
        <f>M209*V209</f>
        <v>0</v>
      </c>
      <c r="AT209" t="n">
        <f>N209*V209</f>
        <v>0</v>
      </c>
      <c r="AU209" t="n">
        <f>O209*V209</f>
        <v>0</v>
      </c>
      <c r="AV209" t="n">
        <f>P209*V209</f>
        <v>0</v>
      </c>
      <c r="AW209" t="n">
        <f>Q209*V209</f>
        <v>0</v>
      </c>
      <c r="AX209" t="n">
        <f>E209*W209</f>
        <v>0</v>
      </c>
      <c r="AY209" t="n">
        <f>F209*W209</f>
        <v>0</v>
      </c>
      <c r="AZ209" t="n">
        <f>G209*W209</f>
        <v>0</v>
      </c>
      <c r="BA209" t="n">
        <f>H209*W209</f>
        <v>0</v>
      </c>
      <c r="BB209" t="n">
        <f>I209*W209</f>
        <v>0</v>
      </c>
      <c r="BC209" t="n">
        <f>J209*W209</f>
        <v>0</v>
      </c>
      <c r="BD209" t="n">
        <f>K209*W209</f>
        <v>0</v>
      </c>
      <c r="BE209" t="n">
        <f>L209*W209</f>
        <v>0</v>
      </c>
      <c r="BF209" t="n">
        <f>M209*W209</f>
        <v>0</v>
      </c>
      <c r="BG209" t="n">
        <f>N209*W209</f>
        <v>0</v>
      </c>
      <c r="BH209" t="n">
        <f>O209*W209</f>
        <v>0</v>
      </c>
      <c r="BI209" t="n">
        <f>P209*W209</f>
        <v>0</v>
      </c>
      <c r="BJ209" t="n">
        <f>Q209*W209</f>
        <v>0</v>
      </c>
    </row>
    <row r="210">
      <c r="A210" t="n">
        <f>Charges!A210</f>
        <v>0</v>
      </c>
      <c r="B210" t="n">
        <f>Charges!C210</f>
        <v>0</v>
      </c>
      <c r="C210" t="str">
        <f>Charges!D210</f>
        <v/>
      </c>
      <c r="E210" t="n">
        <f>IF(1&lt;=Paramètres!$B$9,MAX(0,IFERROR(N(IF(ISNUMBER(Charges!F210),MAX(0,Charges!F210),IFERROR(VLOOKUP(Charges!F210,Paramètres!$A$15:$B$18,2,FALSE),0))),0)),0)</f>
        <v>0</v>
      </c>
      <c r="F210" t="n">
        <f>IF(2&lt;=Paramètres!$B$9,MAX(0,IFERROR(N(IF(ISNUMBER(Charges!G210),MAX(0,Charges!G210),IFERROR(VLOOKUP(Charges!G210,Paramètres!$A$15:$B$18,2,FALSE),0))),0)),0)</f>
        <v>0</v>
      </c>
      <c r="G210" t="n">
        <f>IF(3&lt;=Paramètres!$B$9,MAX(0,IFERROR(N(IF(ISNUMBER(Charges!H210),MAX(0,Charges!H210),IFERROR(VLOOKUP(Charges!H210,Paramètres!$A$15:$B$18,2,FALSE),0))),0)),0)</f>
        <v>0</v>
      </c>
      <c r="H210" t="n">
        <f>IF(4&lt;=Paramètres!$B$9,MAX(0,IFERROR(N(IF(ISNUMBER(Charges!I210),MAX(0,Charges!I210),IFERROR(VLOOKUP(Charges!I210,Paramètres!$A$15:$B$18,2,FALSE),0))),0)),0)</f>
        <v>0</v>
      </c>
      <c r="I210" t="n">
        <f>IF(5&lt;=Paramètres!$B$9,MAX(0,IFERROR(N(IF(ISNUMBER(Charges!J210),MAX(0,Charges!J210),IFERROR(VLOOKUP(Charges!J210,Paramètres!$A$15:$B$18,2,FALSE),0))),0)),0)</f>
        <v>0</v>
      </c>
      <c r="J210" t="n">
        <f>IF(6&lt;=Paramètres!$B$9,MAX(0,IFERROR(N(IF(ISNUMBER(Charges!K210),MAX(0,Charges!K210),IFERROR(VLOOKUP(Charges!K210,Paramètres!$A$15:$B$18,2,FALSE),0))),0)),0)</f>
        <v>0</v>
      </c>
      <c r="K210" t="n">
        <f>IF(7&lt;=Paramètres!$B$9,MAX(0,IFERROR(N(IF(ISNUMBER(Charges!L210),MAX(0,Charges!L210),IFERROR(VLOOKUP(Charges!L210,Paramètres!$A$15:$B$18,2,FALSE),0))),0)),0)</f>
        <v>0</v>
      </c>
      <c r="L210" t="n">
        <f>IF(8&lt;=Paramètres!$B$9,MAX(0,IFERROR(N(IF(ISNUMBER(Charges!M210),MAX(0,Charges!M210),IFERROR(VLOOKUP(Charges!M210,Paramètres!$A$15:$B$18,2,FALSE),0))),0)),0)</f>
        <v>0</v>
      </c>
      <c r="M210" t="n">
        <f>IF(9&lt;=Paramètres!$B$9,MAX(0,IFERROR(N(IF(ISNUMBER(Charges!N210),MAX(0,Charges!N210),IFERROR(VLOOKUP(Charges!N210,Paramètres!$A$15:$B$18,2,FALSE),0))),0)),0)</f>
        <v>0</v>
      </c>
      <c r="N210" t="n">
        <f>IF(10&lt;=Paramètres!$B$9,MAX(0,IFERROR(N(IF(ISNUMBER(Charges!O210),MAX(0,Charges!O210),IFERROR(VLOOKUP(Charges!O210,Paramètres!$A$15:$B$18,2,FALSE),0))),0)),0)</f>
        <v>0</v>
      </c>
      <c r="O210" t="n">
        <f>IF(11&lt;=Paramètres!$B$9,MAX(0,IFERROR(N(IF(ISNUMBER(Charges!P210),MAX(0,Charges!P210),IFERROR(VLOOKUP(Charges!P210,Paramètres!$A$15:$B$18,2,FALSE),0))),0)),0)</f>
        <v>0</v>
      </c>
      <c r="P210" t="n">
        <f>IF(12&lt;=Paramètres!$B$9,MAX(0,IFERROR(N(IF(ISNUMBER(Charges!Q210),MAX(0,Charges!Q210),IFERROR(VLOOKUP(Charges!Q210,Paramètres!$A$15:$B$18,2,FALSE),0))),0)),0)</f>
        <v>0</v>
      </c>
      <c r="Q210" t="n">
        <f>IF(13&lt;=Paramètres!$B$9,MAX(0,IFERROR(N(IF(ISNUMBER(Charges!R210),MAX(0,Charges!R210),IFERROR(VLOOKUP(Charges!R210,Paramètres!$A$15:$B$18,2,FALSE),0))),0)),0)</f>
        <v>0</v>
      </c>
      <c r="R210" t="n">
        <f>SUM(E210:Q210)</f>
        <v>0</v>
      </c>
      <c r="S210" t="n">
        <f>IF(IFERROR(VLOOKUP(A210,'Projets'!$A$8:$Z$67,7,FALSE),"")="Engager",1,0)</f>
        <v>0</v>
      </c>
      <c r="T210" t="n">
        <f>IF(OR(Charges!F210="",AND(ISNUMBER(Charges!F210),Charges!F210&gt;=0),Charges!F210="S",Charges!F210="M",Charges!F210="L",Charges!F210="XL"),0,1)+IF(OR(Charges!G210="",AND(ISNUMBER(Charges!G210),Charges!G210&gt;=0),Charges!G210="S",Charges!G210="M",Charges!G210="L",Charges!G210="XL"),0,1)+IF(OR(Charges!H210="",AND(ISNUMBER(Charges!H210),Charges!H210&gt;=0),Charges!H210="S",Charges!H210="M",Charges!H210="L",Charges!H210="XL"),0,1)+IF(OR(Charges!I210="",AND(ISNUMBER(Charges!I210),Charges!I210&gt;=0),Charges!I210="S",Charges!I210="M",Charges!I210="L",Charges!I210="XL"),0,1)+IF(OR(Charges!J210="",AND(ISNUMBER(Charges!J210),Charges!J210&gt;=0),Charges!J210="S",Charges!J210="M",Charges!J210="L",Charges!J210="XL"),0,1)+IF(OR(Charges!K210="",AND(ISNUMBER(Charges!K210),Charges!K210&gt;=0),Charges!K210="S",Charges!K210="M",Charges!K210="L",Charges!K210="XL"),0,1)+IF(OR(Charges!L210="",AND(ISNUMBER(Charges!L210),Charges!L210&gt;=0),Charges!L210="S",Charges!L210="M",Charges!L210="L",Charges!L210="XL"),0,1)+IF(OR(Charges!M210="",AND(ISNUMBER(Charges!M210),Charges!M210&gt;=0),Charges!M210="S",Charges!M210="M",Charges!M210="L",Charges!M210="XL"),0,1)+IF(OR(Charges!N210="",AND(ISNUMBER(Charges!N210),Charges!N210&gt;=0),Charges!N210="S",Charges!N210="M",Charges!N210="L",Charges!N210="XL"),0,1)+IF(OR(Charges!O210="",AND(ISNUMBER(Charges!O210),Charges!O210&gt;=0),Charges!O210="S",Charges!O210="M",Charges!O210="L",Charges!O210="XL"),0,1)+IF(OR(Charges!P210="",AND(ISNUMBER(Charges!P210),Charges!P210&gt;=0),Charges!P210="S",Charges!P210="M",Charges!P210="L",Charges!P210="XL"),0,1)+IF(OR(Charges!Q210="",AND(ISNUMBER(Charges!Q210),Charges!Q210&gt;=0),Charges!Q210="S",Charges!Q210="M",Charges!Q210="L",Charges!Q210="XL"),0,1)+IF(OR(Charges!R210="",AND(ISNUMBER(Charges!R210),Charges!R210&gt;=0),Charges!R210="S",Charges!R210="M",Charges!R210="L",Charges!R210="XL"),0,1)</f>
        <v>0</v>
      </c>
      <c r="U210" t="n">
        <f>IF(AND(1&gt;Paramètres!$B$9,Charges!F210&lt;&gt;"",Charges!F210&lt;&gt;0),1,0)+IF(AND(2&gt;Paramètres!$B$9,Charges!G210&lt;&gt;"",Charges!G210&lt;&gt;0),1,0)+IF(AND(3&gt;Paramètres!$B$9,Charges!H210&lt;&gt;"",Charges!H210&lt;&gt;0),1,0)+IF(AND(4&gt;Paramètres!$B$9,Charges!I210&lt;&gt;"",Charges!I210&lt;&gt;0),1,0)+IF(AND(5&gt;Paramètres!$B$9,Charges!J210&lt;&gt;"",Charges!J210&lt;&gt;0),1,0)+IF(AND(6&gt;Paramètres!$B$9,Charges!K210&lt;&gt;"",Charges!K210&lt;&gt;0),1,0)+IF(AND(7&gt;Paramètres!$B$9,Charges!L210&lt;&gt;"",Charges!L210&lt;&gt;0),1,0)+IF(AND(8&gt;Paramètres!$B$9,Charges!M210&lt;&gt;"",Charges!M210&lt;&gt;0),1,0)+IF(AND(9&gt;Paramètres!$B$9,Charges!N210&lt;&gt;"",Charges!N210&lt;&gt;0),1,0)+IF(AND(10&gt;Paramètres!$B$9,Charges!O210&lt;&gt;"",Charges!O210&lt;&gt;0),1,0)+IF(AND(11&gt;Paramètres!$B$9,Charges!P210&lt;&gt;"",Charges!P210&lt;&gt;0),1,0)+IF(AND(12&gt;Paramètres!$B$9,Charges!Q210&lt;&gt;"",Charges!Q210&lt;&gt;0),1,0)+IF(AND(13&gt;Paramètres!$B$9,Charges!R210&lt;&gt;"",Charges!R210&lt;&gt;0),1,0)</f>
        <v>0</v>
      </c>
      <c r="V210" t="n">
        <f>IF(IFERROR(VLOOKUP(A210,'Projets'!$A$8:$Z$67,5,FALSE),"")="Engager",1,0)</f>
        <v>0</v>
      </c>
      <c r="W210" t="n">
        <f>IF(IFERROR(VLOOKUP(A210,'Projets'!$A$8:$Z$67,6,FALSE),"")="Engager",1,0)</f>
        <v>0</v>
      </c>
      <c r="X210" t="n">
        <f>E210*S210</f>
        <v>0</v>
      </c>
      <c r="Y210" t="n">
        <f>F210*S210</f>
        <v>0</v>
      </c>
      <c r="Z210" t="n">
        <f>G210*S210</f>
        <v>0</v>
      </c>
      <c r="AA210" t="n">
        <f>H210*S210</f>
        <v>0</v>
      </c>
      <c r="AB210" t="n">
        <f>I210*S210</f>
        <v>0</v>
      </c>
      <c r="AC210" t="n">
        <f>J210*S210</f>
        <v>0</v>
      </c>
      <c r="AD210" t="n">
        <f>K210*S210</f>
        <v>0</v>
      </c>
      <c r="AE210" t="n">
        <f>L210*S210</f>
        <v>0</v>
      </c>
      <c r="AF210" t="n">
        <f>M210*S210</f>
        <v>0</v>
      </c>
      <c r="AG210" t="n">
        <f>N210*S210</f>
        <v>0</v>
      </c>
      <c r="AH210" t="n">
        <f>O210*S210</f>
        <v>0</v>
      </c>
      <c r="AI210" t="n">
        <f>P210*S210</f>
        <v>0</v>
      </c>
      <c r="AJ210" t="n">
        <f>Q210*S210</f>
        <v>0</v>
      </c>
      <c r="AK210" t="n">
        <f>E210*V210</f>
        <v>0</v>
      </c>
      <c r="AL210" t="n">
        <f>F210*V210</f>
        <v>0</v>
      </c>
      <c r="AM210" t="n">
        <f>G210*V210</f>
        <v>0</v>
      </c>
      <c r="AN210" t="n">
        <f>H210*V210</f>
        <v>0</v>
      </c>
      <c r="AO210" t="n">
        <f>I210*V210</f>
        <v>0</v>
      </c>
      <c r="AP210" t="n">
        <f>J210*V210</f>
        <v>0</v>
      </c>
      <c r="AQ210" t="n">
        <f>K210*V210</f>
        <v>0</v>
      </c>
      <c r="AR210" t="n">
        <f>L210*V210</f>
        <v>0</v>
      </c>
      <c r="AS210" t="n">
        <f>M210*V210</f>
        <v>0</v>
      </c>
      <c r="AT210" t="n">
        <f>N210*V210</f>
        <v>0</v>
      </c>
      <c r="AU210" t="n">
        <f>O210*V210</f>
        <v>0</v>
      </c>
      <c r="AV210" t="n">
        <f>P210*V210</f>
        <v>0</v>
      </c>
      <c r="AW210" t="n">
        <f>Q210*V210</f>
        <v>0</v>
      </c>
      <c r="AX210" t="n">
        <f>E210*W210</f>
        <v>0</v>
      </c>
      <c r="AY210" t="n">
        <f>F210*W210</f>
        <v>0</v>
      </c>
      <c r="AZ210" t="n">
        <f>G210*W210</f>
        <v>0</v>
      </c>
      <c r="BA210" t="n">
        <f>H210*W210</f>
        <v>0</v>
      </c>
      <c r="BB210" t="n">
        <f>I210*W210</f>
        <v>0</v>
      </c>
      <c r="BC210" t="n">
        <f>J210*W210</f>
        <v>0</v>
      </c>
      <c r="BD210" t="n">
        <f>K210*W210</f>
        <v>0</v>
      </c>
      <c r="BE210" t="n">
        <f>L210*W210</f>
        <v>0</v>
      </c>
      <c r="BF210" t="n">
        <f>M210*W210</f>
        <v>0</v>
      </c>
      <c r="BG210" t="n">
        <f>N210*W210</f>
        <v>0</v>
      </c>
      <c r="BH210" t="n">
        <f>O210*W210</f>
        <v>0</v>
      </c>
      <c r="BI210" t="n">
        <f>P210*W210</f>
        <v>0</v>
      </c>
      <c r="BJ210" t="n">
        <f>Q210*W210</f>
        <v>0</v>
      </c>
    </row>
    <row r="211">
      <c r="A211" t="n">
        <f>Charges!A211</f>
        <v>0</v>
      </c>
      <c r="B211" t="n">
        <f>Charges!C211</f>
        <v>0</v>
      </c>
      <c r="C211" t="str">
        <f>Charges!D211</f>
        <v/>
      </c>
      <c r="E211" t="n">
        <f>IF(1&lt;=Paramètres!$B$9,MAX(0,IFERROR(N(IF(ISNUMBER(Charges!F211),MAX(0,Charges!F211),IFERROR(VLOOKUP(Charges!F211,Paramètres!$A$15:$B$18,2,FALSE),0))),0)),0)</f>
        <v>0</v>
      </c>
      <c r="F211" t="n">
        <f>IF(2&lt;=Paramètres!$B$9,MAX(0,IFERROR(N(IF(ISNUMBER(Charges!G211),MAX(0,Charges!G211),IFERROR(VLOOKUP(Charges!G211,Paramètres!$A$15:$B$18,2,FALSE),0))),0)),0)</f>
        <v>0</v>
      </c>
      <c r="G211" t="n">
        <f>IF(3&lt;=Paramètres!$B$9,MAX(0,IFERROR(N(IF(ISNUMBER(Charges!H211),MAX(0,Charges!H211),IFERROR(VLOOKUP(Charges!H211,Paramètres!$A$15:$B$18,2,FALSE),0))),0)),0)</f>
        <v>0</v>
      </c>
      <c r="H211" t="n">
        <f>IF(4&lt;=Paramètres!$B$9,MAX(0,IFERROR(N(IF(ISNUMBER(Charges!I211),MAX(0,Charges!I211),IFERROR(VLOOKUP(Charges!I211,Paramètres!$A$15:$B$18,2,FALSE),0))),0)),0)</f>
        <v>0</v>
      </c>
      <c r="I211" t="n">
        <f>IF(5&lt;=Paramètres!$B$9,MAX(0,IFERROR(N(IF(ISNUMBER(Charges!J211),MAX(0,Charges!J211),IFERROR(VLOOKUP(Charges!J211,Paramètres!$A$15:$B$18,2,FALSE),0))),0)),0)</f>
        <v>0</v>
      </c>
      <c r="J211" t="n">
        <f>IF(6&lt;=Paramètres!$B$9,MAX(0,IFERROR(N(IF(ISNUMBER(Charges!K211),MAX(0,Charges!K211),IFERROR(VLOOKUP(Charges!K211,Paramètres!$A$15:$B$18,2,FALSE),0))),0)),0)</f>
        <v>0</v>
      </c>
      <c r="K211" t="n">
        <f>IF(7&lt;=Paramètres!$B$9,MAX(0,IFERROR(N(IF(ISNUMBER(Charges!L211),MAX(0,Charges!L211),IFERROR(VLOOKUP(Charges!L211,Paramètres!$A$15:$B$18,2,FALSE),0))),0)),0)</f>
        <v>0</v>
      </c>
      <c r="L211" t="n">
        <f>IF(8&lt;=Paramètres!$B$9,MAX(0,IFERROR(N(IF(ISNUMBER(Charges!M211),MAX(0,Charges!M211),IFERROR(VLOOKUP(Charges!M211,Paramètres!$A$15:$B$18,2,FALSE),0))),0)),0)</f>
        <v>0</v>
      </c>
      <c r="M211" t="n">
        <f>IF(9&lt;=Paramètres!$B$9,MAX(0,IFERROR(N(IF(ISNUMBER(Charges!N211),MAX(0,Charges!N211),IFERROR(VLOOKUP(Charges!N211,Paramètres!$A$15:$B$18,2,FALSE),0))),0)),0)</f>
        <v>0</v>
      </c>
      <c r="N211" t="n">
        <f>IF(10&lt;=Paramètres!$B$9,MAX(0,IFERROR(N(IF(ISNUMBER(Charges!O211),MAX(0,Charges!O211),IFERROR(VLOOKUP(Charges!O211,Paramètres!$A$15:$B$18,2,FALSE),0))),0)),0)</f>
        <v>0</v>
      </c>
      <c r="O211" t="n">
        <f>IF(11&lt;=Paramètres!$B$9,MAX(0,IFERROR(N(IF(ISNUMBER(Charges!P211),MAX(0,Charges!P211),IFERROR(VLOOKUP(Charges!P211,Paramètres!$A$15:$B$18,2,FALSE),0))),0)),0)</f>
        <v>0</v>
      </c>
      <c r="P211" t="n">
        <f>IF(12&lt;=Paramètres!$B$9,MAX(0,IFERROR(N(IF(ISNUMBER(Charges!Q211),MAX(0,Charges!Q211),IFERROR(VLOOKUP(Charges!Q211,Paramètres!$A$15:$B$18,2,FALSE),0))),0)),0)</f>
        <v>0</v>
      </c>
      <c r="Q211" t="n">
        <f>IF(13&lt;=Paramètres!$B$9,MAX(0,IFERROR(N(IF(ISNUMBER(Charges!R211),MAX(0,Charges!R211),IFERROR(VLOOKUP(Charges!R211,Paramètres!$A$15:$B$18,2,FALSE),0))),0)),0)</f>
        <v>0</v>
      </c>
      <c r="R211" t="n">
        <f>SUM(E211:Q211)</f>
        <v>0</v>
      </c>
      <c r="S211" t="n">
        <f>IF(IFERROR(VLOOKUP(A211,'Projets'!$A$8:$Z$67,7,FALSE),"")="Engager",1,0)</f>
        <v>0</v>
      </c>
      <c r="T211" t="n">
        <f>IF(OR(Charges!F211="",AND(ISNUMBER(Charges!F211),Charges!F211&gt;=0),Charges!F211="S",Charges!F211="M",Charges!F211="L",Charges!F211="XL"),0,1)+IF(OR(Charges!G211="",AND(ISNUMBER(Charges!G211),Charges!G211&gt;=0),Charges!G211="S",Charges!G211="M",Charges!G211="L",Charges!G211="XL"),0,1)+IF(OR(Charges!H211="",AND(ISNUMBER(Charges!H211),Charges!H211&gt;=0),Charges!H211="S",Charges!H211="M",Charges!H211="L",Charges!H211="XL"),0,1)+IF(OR(Charges!I211="",AND(ISNUMBER(Charges!I211),Charges!I211&gt;=0),Charges!I211="S",Charges!I211="M",Charges!I211="L",Charges!I211="XL"),0,1)+IF(OR(Charges!J211="",AND(ISNUMBER(Charges!J211),Charges!J211&gt;=0),Charges!J211="S",Charges!J211="M",Charges!J211="L",Charges!J211="XL"),0,1)+IF(OR(Charges!K211="",AND(ISNUMBER(Charges!K211),Charges!K211&gt;=0),Charges!K211="S",Charges!K211="M",Charges!K211="L",Charges!K211="XL"),0,1)+IF(OR(Charges!L211="",AND(ISNUMBER(Charges!L211),Charges!L211&gt;=0),Charges!L211="S",Charges!L211="M",Charges!L211="L",Charges!L211="XL"),0,1)+IF(OR(Charges!M211="",AND(ISNUMBER(Charges!M211),Charges!M211&gt;=0),Charges!M211="S",Charges!M211="M",Charges!M211="L",Charges!M211="XL"),0,1)+IF(OR(Charges!N211="",AND(ISNUMBER(Charges!N211),Charges!N211&gt;=0),Charges!N211="S",Charges!N211="M",Charges!N211="L",Charges!N211="XL"),0,1)+IF(OR(Charges!O211="",AND(ISNUMBER(Charges!O211),Charges!O211&gt;=0),Charges!O211="S",Charges!O211="M",Charges!O211="L",Charges!O211="XL"),0,1)+IF(OR(Charges!P211="",AND(ISNUMBER(Charges!P211),Charges!P211&gt;=0),Charges!P211="S",Charges!P211="M",Charges!P211="L",Charges!P211="XL"),0,1)+IF(OR(Charges!Q211="",AND(ISNUMBER(Charges!Q211),Charges!Q211&gt;=0),Charges!Q211="S",Charges!Q211="M",Charges!Q211="L",Charges!Q211="XL"),0,1)+IF(OR(Charges!R211="",AND(ISNUMBER(Charges!R211),Charges!R211&gt;=0),Charges!R211="S",Charges!R211="M",Charges!R211="L",Charges!R211="XL"),0,1)</f>
        <v>0</v>
      </c>
      <c r="U211" t="n">
        <f>IF(AND(1&gt;Paramètres!$B$9,Charges!F211&lt;&gt;"",Charges!F211&lt;&gt;0),1,0)+IF(AND(2&gt;Paramètres!$B$9,Charges!G211&lt;&gt;"",Charges!G211&lt;&gt;0),1,0)+IF(AND(3&gt;Paramètres!$B$9,Charges!H211&lt;&gt;"",Charges!H211&lt;&gt;0),1,0)+IF(AND(4&gt;Paramètres!$B$9,Charges!I211&lt;&gt;"",Charges!I211&lt;&gt;0),1,0)+IF(AND(5&gt;Paramètres!$B$9,Charges!J211&lt;&gt;"",Charges!J211&lt;&gt;0),1,0)+IF(AND(6&gt;Paramètres!$B$9,Charges!K211&lt;&gt;"",Charges!K211&lt;&gt;0),1,0)+IF(AND(7&gt;Paramètres!$B$9,Charges!L211&lt;&gt;"",Charges!L211&lt;&gt;0),1,0)+IF(AND(8&gt;Paramètres!$B$9,Charges!M211&lt;&gt;"",Charges!M211&lt;&gt;0),1,0)+IF(AND(9&gt;Paramètres!$B$9,Charges!N211&lt;&gt;"",Charges!N211&lt;&gt;0),1,0)+IF(AND(10&gt;Paramètres!$B$9,Charges!O211&lt;&gt;"",Charges!O211&lt;&gt;0),1,0)+IF(AND(11&gt;Paramètres!$B$9,Charges!P211&lt;&gt;"",Charges!P211&lt;&gt;0),1,0)+IF(AND(12&gt;Paramètres!$B$9,Charges!Q211&lt;&gt;"",Charges!Q211&lt;&gt;0),1,0)+IF(AND(13&gt;Paramètres!$B$9,Charges!R211&lt;&gt;"",Charges!R211&lt;&gt;0),1,0)</f>
        <v>0</v>
      </c>
      <c r="V211" t="n">
        <f>IF(IFERROR(VLOOKUP(A211,'Projets'!$A$8:$Z$67,5,FALSE),"")="Engager",1,0)</f>
        <v>0</v>
      </c>
      <c r="W211" t="n">
        <f>IF(IFERROR(VLOOKUP(A211,'Projets'!$A$8:$Z$67,6,FALSE),"")="Engager",1,0)</f>
        <v>0</v>
      </c>
      <c r="X211" t="n">
        <f>E211*S211</f>
        <v>0</v>
      </c>
      <c r="Y211" t="n">
        <f>F211*S211</f>
        <v>0</v>
      </c>
      <c r="Z211" t="n">
        <f>G211*S211</f>
        <v>0</v>
      </c>
      <c r="AA211" t="n">
        <f>H211*S211</f>
        <v>0</v>
      </c>
      <c r="AB211" t="n">
        <f>I211*S211</f>
        <v>0</v>
      </c>
      <c r="AC211" t="n">
        <f>J211*S211</f>
        <v>0</v>
      </c>
      <c r="AD211" t="n">
        <f>K211*S211</f>
        <v>0</v>
      </c>
      <c r="AE211" t="n">
        <f>L211*S211</f>
        <v>0</v>
      </c>
      <c r="AF211" t="n">
        <f>M211*S211</f>
        <v>0</v>
      </c>
      <c r="AG211" t="n">
        <f>N211*S211</f>
        <v>0</v>
      </c>
      <c r="AH211" t="n">
        <f>O211*S211</f>
        <v>0</v>
      </c>
      <c r="AI211" t="n">
        <f>P211*S211</f>
        <v>0</v>
      </c>
      <c r="AJ211" t="n">
        <f>Q211*S211</f>
        <v>0</v>
      </c>
      <c r="AK211" t="n">
        <f>E211*V211</f>
        <v>0</v>
      </c>
      <c r="AL211" t="n">
        <f>F211*V211</f>
        <v>0</v>
      </c>
      <c r="AM211" t="n">
        <f>G211*V211</f>
        <v>0</v>
      </c>
      <c r="AN211" t="n">
        <f>H211*V211</f>
        <v>0</v>
      </c>
      <c r="AO211" t="n">
        <f>I211*V211</f>
        <v>0</v>
      </c>
      <c r="AP211" t="n">
        <f>J211*V211</f>
        <v>0</v>
      </c>
      <c r="AQ211" t="n">
        <f>K211*V211</f>
        <v>0</v>
      </c>
      <c r="AR211" t="n">
        <f>L211*V211</f>
        <v>0</v>
      </c>
      <c r="AS211" t="n">
        <f>M211*V211</f>
        <v>0</v>
      </c>
      <c r="AT211" t="n">
        <f>N211*V211</f>
        <v>0</v>
      </c>
      <c r="AU211" t="n">
        <f>O211*V211</f>
        <v>0</v>
      </c>
      <c r="AV211" t="n">
        <f>P211*V211</f>
        <v>0</v>
      </c>
      <c r="AW211" t="n">
        <f>Q211*V211</f>
        <v>0</v>
      </c>
      <c r="AX211" t="n">
        <f>E211*W211</f>
        <v>0</v>
      </c>
      <c r="AY211" t="n">
        <f>F211*W211</f>
        <v>0</v>
      </c>
      <c r="AZ211" t="n">
        <f>G211*W211</f>
        <v>0</v>
      </c>
      <c r="BA211" t="n">
        <f>H211*W211</f>
        <v>0</v>
      </c>
      <c r="BB211" t="n">
        <f>I211*W211</f>
        <v>0</v>
      </c>
      <c r="BC211" t="n">
        <f>J211*W211</f>
        <v>0</v>
      </c>
      <c r="BD211" t="n">
        <f>K211*W211</f>
        <v>0</v>
      </c>
      <c r="BE211" t="n">
        <f>L211*W211</f>
        <v>0</v>
      </c>
      <c r="BF211" t="n">
        <f>M211*W211</f>
        <v>0</v>
      </c>
      <c r="BG211" t="n">
        <f>N211*W211</f>
        <v>0</v>
      </c>
      <c r="BH211" t="n">
        <f>O211*W211</f>
        <v>0</v>
      </c>
      <c r="BI211" t="n">
        <f>P211*W211</f>
        <v>0</v>
      </c>
      <c r="BJ211" t="n">
        <f>Q211*W211</f>
        <v>0</v>
      </c>
    </row>
    <row r="212">
      <c r="A212" t="n">
        <f>Charges!A212</f>
        <v>0</v>
      </c>
      <c r="B212" t="n">
        <f>Charges!C212</f>
        <v>0</v>
      </c>
      <c r="C212" t="str">
        <f>Charges!D212</f>
        <v/>
      </c>
      <c r="E212" t="n">
        <f>IF(1&lt;=Paramètres!$B$9,MAX(0,IFERROR(N(IF(ISNUMBER(Charges!F212),MAX(0,Charges!F212),IFERROR(VLOOKUP(Charges!F212,Paramètres!$A$15:$B$18,2,FALSE),0))),0)),0)</f>
        <v>0</v>
      </c>
      <c r="F212" t="n">
        <f>IF(2&lt;=Paramètres!$B$9,MAX(0,IFERROR(N(IF(ISNUMBER(Charges!G212),MAX(0,Charges!G212),IFERROR(VLOOKUP(Charges!G212,Paramètres!$A$15:$B$18,2,FALSE),0))),0)),0)</f>
        <v>0</v>
      </c>
      <c r="G212" t="n">
        <f>IF(3&lt;=Paramètres!$B$9,MAX(0,IFERROR(N(IF(ISNUMBER(Charges!H212),MAX(0,Charges!H212),IFERROR(VLOOKUP(Charges!H212,Paramètres!$A$15:$B$18,2,FALSE),0))),0)),0)</f>
        <v>0</v>
      </c>
      <c r="H212" t="n">
        <f>IF(4&lt;=Paramètres!$B$9,MAX(0,IFERROR(N(IF(ISNUMBER(Charges!I212),MAX(0,Charges!I212),IFERROR(VLOOKUP(Charges!I212,Paramètres!$A$15:$B$18,2,FALSE),0))),0)),0)</f>
        <v>0</v>
      </c>
      <c r="I212" t="n">
        <f>IF(5&lt;=Paramètres!$B$9,MAX(0,IFERROR(N(IF(ISNUMBER(Charges!J212),MAX(0,Charges!J212),IFERROR(VLOOKUP(Charges!J212,Paramètres!$A$15:$B$18,2,FALSE),0))),0)),0)</f>
        <v>0</v>
      </c>
      <c r="J212" t="n">
        <f>IF(6&lt;=Paramètres!$B$9,MAX(0,IFERROR(N(IF(ISNUMBER(Charges!K212),MAX(0,Charges!K212),IFERROR(VLOOKUP(Charges!K212,Paramètres!$A$15:$B$18,2,FALSE),0))),0)),0)</f>
        <v>0</v>
      </c>
      <c r="K212" t="n">
        <f>IF(7&lt;=Paramètres!$B$9,MAX(0,IFERROR(N(IF(ISNUMBER(Charges!L212),MAX(0,Charges!L212),IFERROR(VLOOKUP(Charges!L212,Paramètres!$A$15:$B$18,2,FALSE),0))),0)),0)</f>
        <v>0</v>
      </c>
      <c r="L212" t="n">
        <f>IF(8&lt;=Paramètres!$B$9,MAX(0,IFERROR(N(IF(ISNUMBER(Charges!M212),MAX(0,Charges!M212),IFERROR(VLOOKUP(Charges!M212,Paramètres!$A$15:$B$18,2,FALSE),0))),0)),0)</f>
        <v>0</v>
      </c>
      <c r="M212" t="n">
        <f>IF(9&lt;=Paramètres!$B$9,MAX(0,IFERROR(N(IF(ISNUMBER(Charges!N212),MAX(0,Charges!N212),IFERROR(VLOOKUP(Charges!N212,Paramètres!$A$15:$B$18,2,FALSE),0))),0)),0)</f>
        <v>0</v>
      </c>
      <c r="N212" t="n">
        <f>IF(10&lt;=Paramètres!$B$9,MAX(0,IFERROR(N(IF(ISNUMBER(Charges!O212),MAX(0,Charges!O212),IFERROR(VLOOKUP(Charges!O212,Paramètres!$A$15:$B$18,2,FALSE),0))),0)),0)</f>
        <v>0</v>
      </c>
      <c r="O212" t="n">
        <f>IF(11&lt;=Paramètres!$B$9,MAX(0,IFERROR(N(IF(ISNUMBER(Charges!P212),MAX(0,Charges!P212),IFERROR(VLOOKUP(Charges!P212,Paramètres!$A$15:$B$18,2,FALSE),0))),0)),0)</f>
        <v>0</v>
      </c>
      <c r="P212" t="n">
        <f>IF(12&lt;=Paramètres!$B$9,MAX(0,IFERROR(N(IF(ISNUMBER(Charges!Q212),MAX(0,Charges!Q212),IFERROR(VLOOKUP(Charges!Q212,Paramètres!$A$15:$B$18,2,FALSE),0))),0)),0)</f>
        <v>0</v>
      </c>
      <c r="Q212" t="n">
        <f>IF(13&lt;=Paramètres!$B$9,MAX(0,IFERROR(N(IF(ISNUMBER(Charges!R212),MAX(0,Charges!R212),IFERROR(VLOOKUP(Charges!R212,Paramètres!$A$15:$B$18,2,FALSE),0))),0)),0)</f>
        <v>0</v>
      </c>
      <c r="R212" t="n">
        <f>SUM(E212:Q212)</f>
        <v>0</v>
      </c>
      <c r="S212" t="n">
        <f>IF(IFERROR(VLOOKUP(A212,'Projets'!$A$8:$Z$67,7,FALSE),"")="Engager",1,0)</f>
        <v>0</v>
      </c>
      <c r="T212" t="n">
        <f>IF(OR(Charges!F212="",AND(ISNUMBER(Charges!F212),Charges!F212&gt;=0),Charges!F212="S",Charges!F212="M",Charges!F212="L",Charges!F212="XL"),0,1)+IF(OR(Charges!G212="",AND(ISNUMBER(Charges!G212),Charges!G212&gt;=0),Charges!G212="S",Charges!G212="M",Charges!G212="L",Charges!G212="XL"),0,1)+IF(OR(Charges!H212="",AND(ISNUMBER(Charges!H212),Charges!H212&gt;=0),Charges!H212="S",Charges!H212="M",Charges!H212="L",Charges!H212="XL"),0,1)+IF(OR(Charges!I212="",AND(ISNUMBER(Charges!I212),Charges!I212&gt;=0),Charges!I212="S",Charges!I212="M",Charges!I212="L",Charges!I212="XL"),0,1)+IF(OR(Charges!J212="",AND(ISNUMBER(Charges!J212),Charges!J212&gt;=0),Charges!J212="S",Charges!J212="M",Charges!J212="L",Charges!J212="XL"),0,1)+IF(OR(Charges!K212="",AND(ISNUMBER(Charges!K212),Charges!K212&gt;=0),Charges!K212="S",Charges!K212="M",Charges!K212="L",Charges!K212="XL"),0,1)+IF(OR(Charges!L212="",AND(ISNUMBER(Charges!L212),Charges!L212&gt;=0),Charges!L212="S",Charges!L212="M",Charges!L212="L",Charges!L212="XL"),0,1)+IF(OR(Charges!M212="",AND(ISNUMBER(Charges!M212),Charges!M212&gt;=0),Charges!M212="S",Charges!M212="M",Charges!M212="L",Charges!M212="XL"),0,1)+IF(OR(Charges!N212="",AND(ISNUMBER(Charges!N212),Charges!N212&gt;=0),Charges!N212="S",Charges!N212="M",Charges!N212="L",Charges!N212="XL"),0,1)+IF(OR(Charges!O212="",AND(ISNUMBER(Charges!O212),Charges!O212&gt;=0),Charges!O212="S",Charges!O212="M",Charges!O212="L",Charges!O212="XL"),0,1)+IF(OR(Charges!P212="",AND(ISNUMBER(Charges!P212),Charges!P212&gt;=0),Charges!P212="S",Charges!P212="M",Charges!P212="L",Charges!P212="XL"),0,1)+IF(OR(Charges!Q212="",AND(ISNUMBER(Charges!Q212),Charges!Q212&gt;=0),Charges!Q212="S",Charges!Q212="M",Charges!Q212="L",Charges!Q212="XL"),0,1)+IF(OR(Charges!R212="",AND(ISNUMBER(Charges!R212),Charges!R212&gt;=0),Charges!R212="S",Charges!R212="M",Charges!R212="L",Charges!R212="XL"),0,1)</f>
        <v>0</v>
      </c>
      <c r="U212" t="n">
        <f>IF(AND(1&gt;Paramètres!$B$9,Charges!F212&lt;&gt;"",Charges!F212&lt;&gt;0),1,0)+IF(AND(2&gt;Paramètres!$B$9,Charges!G212&lt;&gt;"",Charges!G212&lt;&gt;0),1,0)+IF(AND(3&gt;Paramètres!$B$9,Charges!H212&lt;&gt;"",Charges!H212&lt;&gt;0),1,0)+IF(AND(4&gt;Paramètres!$B$9,Charges!I212&lt;&gt;"",Charges!I212&lt;&gt;0),1,0)+IF(AND(5&gt;Paramètres!$B$9,Charges!J212&lt;&gt;"",Charges!J212&lt;&gt;0),1,0)+IF(AND(6&gt;Paramètres!$B$9,Charges!K212&lt;&gt;"",Charges!K212&lt;&gt;0),1,0)+IF(AND(7&gt;Paramètres!$B$9,Charges!L212&lt;&gt;"",Charges!L212&lt;&gt;0),1,0)+IF(AND(8&gt;Paramètres!$B$9,Charges!M212&lt;&gt;"",Charges!M212&lt;&gt;0),1,0)+IF(AND(9&gt;Paramètres!$B$9,Charges!N212&lt;&gt;"",Charges!N212&lt;&gt;0),1,0)+IF(AND(10&gt;Paramètres!$B$9,Charges!O212&lt;&gt;"",Charges!O212&lt;&gt;0),1,0)+IF(AND(11&gt;Paramètres!$B$9,Charges!P212&lt;&gt;"",Charges!P212&lt;&gt;0),1,0)+IF(AND(12&gt;Paramètres!$B$9,Charges!Q212&lt;&gt;"",Charges!Q212&lt;&gt;0),1,0)+IF(AND(13&gt;Paramètres!$B$9,Charges!R212&lt;&gt;"",Charges!R212&lt;&gt;0),1,0)</f>
        <v>0</v>
      </c>
      <c r="V212" t="n">
        <f>IF(IFERROR(VLOOKUP(A212,'Projets'!$A$8:$Z$67,5,FALSE),"")="Engager",1,0)</f>
        <v>0</v>
      </c>
      <c r="W212" t="n">
        <f>IF(IFERROR(VLOOKUP(A212,'Projets'!$A$8:$Z$67,6,FALSE),"")="Engager",1,0)</f>
        <v>0</v>
      </c>
      <c r="X212" t="n">
        <f>E212*S212</f>
        <v>0</v>
      </c>
      <c r="Y212" t="n">
        <f>F212*S212</f>
        <v>0</v>
      </c>
      <c r="Z212" t="n">
        <f>G212*S212</f>
        <v>0</v>
      </c>
      <c r="AA212" t="n">
        <f>H212*S212</f>
        <v>0</v>
      </c>
      <c r="AB212" t="n">
        <f>I212*S212</f>
        <v>0</v>
      </c>
      <c r="AC212" t="n">
        <f>J212*S212</f>
        <v>0</v>
      </c>
      <c r="AD212" t="n">
        <f>K212*S212</f>
        <v>0</v>
      </c>
      <c r="AE212" t="n">
        <f>L212*S212</f>
        <v>0</v>
      </c>
      <c r="AF212" t="n">
        <f>M212*S212</f>
        <v>0</v>
      </c>
      <c r="AG212" t="n">
        <f>N212*S212</f>
        <v>0</v>
      </c>
      <c r="AH212" t="n">
        <f>O212*S212</f>
        <v>0</v>
      </c>
      <c r="AI212" t="n">
        <f>P212*S212</f>
        <v>0</v>
      </c>
      <c r="AJ212" t="n">
        <f>Q212*S212</f>
        <v>0</v>
      </c>
      <c r="AK212" t="n">
        <f>E212*V212</f>
        <v>0</v>
      </c>
      <c r="AL212" t="n">
        <f>F212*V212</f>
        <v>0</v>
      </c>
      <c r="AM212" t="n">
        <f>G212*V212</f>
        <v>0</v>
      </c>
      <c r="AN212" t="n">
        <f>H212*V212</f>
        <v>0</v>
      </c>
      <c r="AO212" t="n">
        <f>I212*V212</f>
        <v>0</v>
      </c>
      <c r="AP212" t="n">
        <f>J212*V212</f>
        <v>0</v>
      </c>
      <c r="AQ212" t="n">
        <f>K212*V212</f>
        <v>0</v>
      </c>
      <c r="AR212" t="n">
        <f>L212*V212</f>
        <v>0</v>
      </c>
      <c r="AS212" t="n">
        <f>M212*V212</f>
        <v>0</v>
      </c>
      <c r="AT212" t="n">
        <f>N212*V212</f>
        <v>0</v>
      </c>
      <c r="AU212" t="n">
        <f>O212*V212</f>
        <v>0</v>
      </c>
      <c r="AV212" t="n">
        <f>P212*V212</f>
        <v>0</v>
      </c>
      <c r="AW212" t="n">
        <f>Q212*V212</f>
        <v>0</v>
      </c>
      <c r="AX212" t="n">
        <f>E212*W212</f>
        <v>0</v>
      </c>
      <c r="AY212" t="n">
        <f>F212*W212</f>
        <v>0</v>
      </c>
      <c r="AZ212" t="n">
        <f>G212*W212</f>
        <v>0</v>
      </c>
      <c r="BA212" t="n">
        <f>H212*W212</f>
        <v>0</v>
      </c>
      <c r="BB212" t="n">
        <f>I212*W212</f>
        <v>0</v>
      </c>
      <c r="BC212" t="n">
        <f>J212*W212</f>
        <v>0</v>
      </c>
      <c r="BD212" t="n">
        <f>K212*W212</f>
        <v>0</v>
      </c>
      <c r="BE212" t="n">
        <f>L212*W212</f>
        <v>0</v>
      </c>
      <c r="BF212" t="n">
        <f>M212*W212</f>
        <v>0</v>
      </c>
      <c r="BG212" t="n">
        <f>N212*W212</f>
        <v>0</v>
      </c>
      <c r="BH212" t="n">
        <f>O212*W212</f>
        <v>0</v>
      </c>
      <c r="BI212" t="n">
        <f>P212*W212</f>
        <v>0</v>
      </c>
      <c r="BJ212" t="n">
        <f>Q212*W212</f>
        <v>0</v>
      </c>
    </row>
    <row r="213">
      <c r="A213" t="n">
        <f>Charges!A213</f>
        <v>0</v>
      </c>
      <c r="B213" t="n">
        <f>Charges!C213</f>
        <v>0</v>
      </c>
      <c r="C213" t="str">
        <f>Charges!D213</f>
        <v/>
      </c>
      <c r="E213" t="n">
        <f>IF(1&lt;=Paramètres!$B$9,MAX(0,IFERROR(N(IF(ISNUMBER(Charges!F213),MAX(0,Charges!F213),IFERROR(VLOOKUP(Charges!F213,Paramètres!$A$15:$B$18,2,FALSE),0))),0)),0)</f>
        <v>0</v>
      </c>
      <c r="F213" t="n">
        <f>IF(2&lt;=Paramètres!$B$9,MAX(0,IFERROR(N(IF(ISNUMBER(Charges!G213),MAX(0,Charges!G213),IFERROR(VLOOKUP(Charges!G213,Paramètres!$A$15:$B$18,2,FALSE),0))),0)),0)</f>
        <v>0</v>
      </c>
      <c r="G213" t="n">
        <f>IF(3&lt;=Paramètres!$B$9,MAX(0,IFERROR(N(IF(ISNUMBER(Charges!H213),MAX(0,Charges!H213),IFERROR(VLOOKUP(Charges!H213,Paramètres!$A$15:$B$18,2,FALSE),0))),0)),0)</f>
        <v>0</v>
      </c>
      <c r="H213" t="n">
        <f>IF(4&lt;=Paramètres!$B$9,MAX(0,IFERROR(N(IF(ISNUMBER(Charges!I213),MAX(0,Charges!I213),IFERROR(VLOOKUP(Charges!I213,Paramètres!$A$15:$B$18,2,FALSE),0))),0)),0)</f>
        <v>0</v>
      </c>
      <c r="I213" t="n">
        <f>IF(5&lt;=Paramètres!$B$9,MAX(0,IFERROR(N(IF(ISNUMBER(Charges!J213),MAX(0,Charges!J213),IFERROR(VLOOKUP(Charges!J213,Paramètres!$A$15:$B$18,2,FALSE),0))),0)),0)</f>
        <v>0</v>
      </c>
      <c r="J213" t="n">
        <f>IF(6&lt;=Paramètres!$B$9,MAX(0,IFERROR(N(IF(ISNUMBER(Charges!K213),MAX(0,Charges!K213),IFERROR(VLOOKUP(Charges!K213,Paramètres!$A$15:$B$18,2,FALSE),0))),0)),0)</f>
        <v>0</v>
      </c>
      <c r="K213" t="n">
        <f>IF(7&lt;=Paramètres!$B$9,MAX(0,IFERROR(N(IF(ISNUMBER(Charges!L213),MAX(0,Charges!L213),IFERROR(VLOOKUP(Charges!L213,Paramètres!$A$15:$B$18,2,FALSE),0))),0)),0)</f>
        <v>0</v>
      </c>
      <c r="L213" t="n">
        <f>IF(8&lt;=Paramètres!$B$9,MAX(0,IFERROR(N(IF(ISNUMBER(Charges!M213),MAX(0,Charges!M213),IFERROR(VLOOKUP(Charges!M213,Paramètres!$A$15:$B$18,2,FALSE),0))),0)),0)</f>
        <v>0</v>
      </c>
      <c r="M213" t="n">
        <f>IF(9&lt;=Paramètres!$B$9,MAX(0,IFERROR(N(IF(ISNUMBER(Charges!N213),MAX(0,Charges!N213),IFERROR(VLOOKUP(Charges!N213,Paramètres!$A$15:$B$18,2,FALSE),0))),0)),0)</f>
        <v>0</v>
      </c>
      <c r="N213" t="n">
        <f>IF(10&lt;=Paramètres!$B$9,MAX(0,IFERROR(N(IF(ISNUMBER(Charges!O213),MAX(0,Charges!O213),IFERROR(VLOOKUP(Charges!O213,Paramètres!$A$15:$B$18,2,FALSE),0))),0)),0)</f>
        <v>0</v>
      </c>
      <c r="O213" t="n">
        <f>IF(11&lt;=Paramètres!$B$9,MAX(0,IFERROR(N(IF(ISNUMBER(Charges!P213),MAX(0,Charges!P213),IFERROR(VLOOKUP(Charges!P213,Paramètres!$A$15:$B$18,2,FALSE),0))),0)),0)</f>
        <v>0</v>
      </c>
      <c r="P213" t="n">
        <f>IF(12&lt;=Paramètres!$B$9,MAX(0,IFERROR(N(IF(ISNUMBER(Charges!Q213),MAX(0,Charges!Q213),IFERROR(VLOOKUP(Charges!Q213,Paramètres!$A$15:$B$18,2,FALSE),0))),0)),0)</f>
        <v>0</v>
      </c>
      <c r="Q213" t="n">
        <f>IF(13&lt;=Paramètres!$B$9,MAX(0,IFERROR(N(IF(ISNUMBER(Charges!R213),MAX(0,Charges!R213),IFERROR(VLOOKUP(Charges!R213,Paramètres!$A$15:$B$18,2,FALSE),0))),0)),0)</f>
        <v>0</v>
      </c>
      <c r="R213" t="n">
        <f>SUM(E213:Q213)</f>
        <v>0</v>
      </c>
      <c r="S213" t="n">
        <f>IF(IFERROR(VLOOKUP(A213,'Projets'!$A$8:$Z$67,7,FALSE),"")="Engager",1,0)</f>
        <v>0</v>
      </c>
      <c r="T213" t="n">
        <f>IF(OR(Charges!F213="",AND(ISNUMBER(Charges!F213),Charges!F213&gt;=0),Charges!F213="S",Charges!F213="M",Charges!F213="L",Charges!F213="XL"),0,1)+IF(OR(Charges!G213="",AND(ISNUMBER(Charges!G213),Charges!G213&gt;=0),Charges!G213="S",Charges!G213="M",Charges!G213="L",Charges!G213="XL"),0,1)+IF(OR(Charges!H213="",AND(ISNUMBER(Charges!H213),Charges!H213&gt;=0),Charges!H213="S",Charges!H213="M",Charges!H213="L",Charges!H213="XL"),0,1)+IF(OR(Charges!I213="",AND(ISNUMBER(Charges!I213),Charges!I213&gt;=0),Charges!I213="S",Charges!I213="M",Charges!I213="L",Charges!I213="XL"),0,1)+IF(OR(Charges!J213="",AND(ISNUMBER(Charges!J213),Charges!J213&gt;=0),Charges!J213="S",Charges!J213="M",Charges!J213="L",Charges!J213="XL"),0,1)+IF(OR(Charges!K213="",AND(ISNUMBER(Charges!K213),Charges!K213&gt;=0),Charges!K213="S",Charges!K213="M",Charges!K213="L",Charges!K213="XL"),0,1)+IF(OR(Charges!L213="",AND(ISNUMBER(Charges!L213),Charges!L213&gt;=0),Charges!L213="S",Charges!L213="M",Charges!L213="L",Charges!L213="XL"),0,1)+IF(OR(Charges!M213="",AND(ISNUMBER(Charges!M213),Charges!M213&gt;=0),Charges!M213="S",Charges!M213="M",Charges!M213="L",Charges!M213="XL"),0,1)+IF(OR(Charges!N213="",AND(ISNUMBER(Charges!N213),Charges!N213&gt;=0),Charges!N213="S",Charges!N213="M",Charges!N213="L",Charges!N213="XL"),0,1)+IF(OR(Charges!O213="",AND(ISNUMBER(Charges!O213),Charges!O213&gt;=0),Charges!O213="S",Charges!O213="M",Charges!O213="L",Charges!O213="XL"),0,1)+IF(OR(Charges!P213="",AND(ISNUMBER(Charges!P213),Charges!P213&gt;=0),Charges!P213="S",Charges!P213="M",Charges!P213="L",Charges!P213="XL"),0,1)+IF(OR(Charges!Q213="",AND(ISNUMBER(Charges!Q213),Charges!Q213&gt;=0),Charges!Q213="S",Charges!Q213="M",Charges!Q213="L",Charges!Q213="XL"),0,1)+IF(OR(Charges!R213="",AND(ISNUMBER(Charges!R213),Charges!R213&gt;=0),Charges!R213="S",Charges!R213="M",Charges!R213="L",Charges!R213="XL"),0,1)</f>
        <v>0</v>
      </c>
      <c r="U213" t="n">
        <f>IF(AND(1&gt;Paramètres!$B$9,Charges!F213&lt;&gt;"",Charges!F213&lt;&gt;0),1,0)+IF(AND(2&gt;Paramètres!$B$9,Charges!G213&lt;&gt;"",Charges!G213&lt;&gt;0),1,0)+IF(AND(3&gt;Paramètres!$B$9,Charges!H213&lt;&gt;"",Charges!H213&lt;&gt;0),1,0)+IF(AND(4&gt;Paramètres!$B$9,Charges!I213&lt;&gt;"",Charges!I213&lt;&gt;0),1,0)+IF(AND(5&gt;Paramètres!$B$9,Charges!J213&lt;&gt;"",Charges!J213&lt;&gt;0),1,0)+IF(AND(6&gt;Paramètres!$B$9,Charges!K213&lt;&gt;"",Charges!K213&lt;&gt;0),1,0)+IF(AND(7&gt;Paramètres!$B$9,Charges!L213&lt;&gt;"",Charges!L213&lt;&gt;0),1,0)+IF(AND(8&gt;Paramètres!$B$9,Charges!M213&lt;&gt;"",Charges!M213&lt;&gt;0),1,0)+IF(AND(9&gt;Paramètres!$B$9,Charges!N213&lt;&gt;"",Charges!N213&lt;&gt;0),1,0)+IF(AND(10&gt;Paramètres!$B$9,Charges!O213&lt;&gt;"",Charges!O213&lt;&gt;0),1,0)+IF(AND(11&gt;Paramètres!$B$9,Charges!P213&lt;&gt;"",Charges!P213&lt;&gt;0),1,0)+IF(AND(12&gt;Paramètres!$B$9,Charges!Q213&lt;&gt;"",Charges!Q213&lt;&gt;0),1,0)+IF(AND(13&gt;Paramètres!$B$9,Charges!R213&lt;&gt;"",Charges!R213&lt;&gt;0),1,0)</f>
        <v>0</v>
      </c>
      <c r="V213" t="n">
        <f>IF(IFERROR(VLOOKUP(A213,'Projets'!$A$8:$Z$67,5,FALSE),"")="Engager",1,0)</f>
        <v>0</v>
      </c>
      <c r="W213" t="n">
        <f>IF(IFERROR(VLOOKUP(A213,'Projets'!$A$8:$Z$67,6,FALSE),"")="Engager",1,0)</f>
        <v>0</v>
      </c>
      <c r="X213" t="n">
        <f>E213*S213</f>
        <v>0</v>
      </c>
      <c r="Y213" t="n">
        <f>F213*S213</f>
        <v>0</v>
      </c>
      <c r="Z213" t="n">
        <f>G213*S213</f>
        <v>0</v>
      </c>
      <c r="AA213" t="n">
        <f>H213*S213</f>
        <v>0</v>
      </c>
      <c r="AB213" t="n">
        <f>I213*S213</f>
        <v>0</v>
      </c>
      <c r="AC213" t="n">
        <f>J213*S213</f>
        <v>0</v>
      </c>
      <c r="AD213" t="n">
        <f>K213*S213</f>
        <v>0</v>
      </c>
      <c r="AE213" t="n">
        <f>L213*S213</f>
        <v>0</v>
      </c>
      <c r="AF213" t="n">
        <f>M213*S213</f>
        <v>0</v>
      </c>
      <c r="AG213" t="n">
        <f>N213*S213</f>
        <v>0</v>
      </c>
      <c r="AH213" t="n">
        <f>O213*S213</f>
        <v>0</v>
      </c>
      <c r="AI213" t="n">
        <f>P213*S213</f>
        <v>0</v>
      </c>
      <c r="AJ213" t="n">
        <f>Q213*S213</f>
        <v>0</v>
      </c>
      <c r="AK213" t="n">
        <f>E213*V213</f>
        <v>0</v>
      </c>
      <c r="AL213" t="n">
        <f>F213*V213</f>
        <v>0</v>
      </c>
      <c r="AM213" t="n">
        <f>G213*V213</f>
        <v>0</v>
      </c>
      <c r="AN213" t="n">
        <f>H213*V213</f>
        <v>0</v>
      </c>
      <c r="AO213" t="n">
        <f>I213*V213</f>
        <v>0</v>
      </c>
      <c r="AP213" t="n">
        <f>J213*V213</f>
        <v>0</v>
      </c>
      <c r="AQ213" t="n">
        <f>K213*V213</f>
        <v>0</v>
      </c>
      <c r="AR213" t="n">
        <f>L213*V213</f>
        <v>0</v>
      </c>
      <c r="AS213" t="n">
        <f>M213*V213</f>
        <v>0</v>
      </c>
      <c r="AT213" t="n">
        <f>N213*V213</f>
        <v>0</v>
      </c>
      <c r="AU213" t="n">
        <f>O213*V213</f>
        <v>0</v>
      </c>
      <c r="AV213" t="n">
        <f>P213*V213</f>
        <v>0</v>
      </c>
      <c r="AW213" t="n">
        <f>Q213*V213</f>
        <v>0</v>
      </c>
      <c r="AX213" t="n">
        <f>E213*W213</f>
        <v>0</v>
      </c>
      <c r="AY213" t="n">
        <f>F213*W213</f>
        <v>0</v>
      </c>
      <c r="AZ213" t="n">
        <f>G213*W213</f>
        <v>0</v>
      </c>
      <c r="BA213" t="n">
        <f>H213*W213</f>
        <v>0</v>
      </c>
      <c r="BB213" t="n">
        <f>I213*W213</f>
        <v>0</v>
      </c>
      <c r="BC213" t="n">
        <f>J213*W213</f>
        <v>0</v>
      </c>
      <c r="BD213" t="n">
        <f>K213*W213</f>
        <v>0</v>
      </c>
      <c r="BE213" t="n">
        <f>L213*W213</f>
        <v>0</v>
      </c>
      <c r="BF213" t="n">
        <f>M213*W213</f>
        <v>0</v>
      </c>
      <c r="BG213" t="n">
        <f>N213*W213</f>
        <v>0</v>
      </c>
      <c r="BH213" t="n">
        <f>O213*W213</f>
        <v>0</v>
      </c>
      <c r="BI213" t="n">
        <f>P213*W213</f>
        <v>0</v>
      </c>
      <c r="BJ213" t="n">
        <f>Q213*W213</f>
        <v>0</v>
      </c>
    </row>
    <row r="214">
      <c r="A214" t="n">
        <f>Charges!A214</f>
        <v>0</v>
      </c>
      <c r="B214" t="n">
        <f>Charges!C214</f>
        <v>0</v>
      </c>
      <c r="C214" t="str">
        <f>Charges!D214</f>
        <v/>
      </c>
      <c r="E214" t="n">
        <f>IF(1&lt;=Paramètres!$B$9,MAX(0,IFERROR(N(IF(ISNUMBER(Charges!F214),MAX(0,Charges!F214),IFERROR(VLOOKUP(Charges!F214,Paramètres!$A$15:$B$18,2,FALSE),0))),0)),0)</f>
        <v>0</v>
      </c>
      <c r="F214" t="n">
        <f>IF(2&lt;=Paramètres!$B$9,MAX(0,IFERROR(N(IF(ISNUMBER(Charges!G214),MAX(0,Charges!G214),IFERROR(VLOOKUP(Charges!G214,Paramètres!$A$15:$B$18,2,FALSE),0))),0)),0)</f>
        <v>0</v>
      </c>
      <c r="G214" t="n">
        <f>IF(3&lt;=Paramètres!$B$9,MAX(0,IFERROR(N(IF(ISNUMBER(Charges!H214),MAX(0,Charges!H214),IFERROR(VLOOKUP(Charges!H214,Paramètres!$A$15:$B$18,2,FALSE),0))),0)),0)</f>
        <v>0</v>
      </c>
      <c r="H214" t="n">
        <f>IF(4&lt;=Paramètres!$B$9,MAX(0,IFERROR(N(IF(ISNUMBER(Charges!I214),MAX(0,Charges!I214),IFERROR(VLOOKUP(Charges!I214,Paramètres!$A$15:$B$18,2,FALSE),0))),0)),0)</f>
        <v>0</v>
      </c>
      <c r="I214" t="n">
        <f>IF(5&lt;=Paramètres!$B$9,MAX(0,IFERROR(N(IF(ISNUMBER(Charges!J214),MAX(0,Charges!J214),IFERROR(VLOOKUP(Charges!J214,Paramètres!$A$15:$B$18,2,FALSE),0))),0)),0)</f>
        <v>0</v>
      </c>
      <c r="J214" t="n">
        <f>IF(6&lt;=Paramètres!$B$9,MAX(0,IFERROR(N(IF(ISNUMBER(Charges!K214),MAX(0,Charges!K214),IFERROR(VLOOKUP(Charges!K214,Paramètres!$A$15:$B$18,2,FALSE),0))),0)),0)</f>
        <v>0</v>
      </c>
      <c r="K214" t="n">
        <f>IF(7&lt;=Paramètres!$B$9,MAX(0,IFERROR(N(IF(ISNUMBER(Charges!L214),MAX(0,Charges!L214),IFERROR(VLOOKUP(Charges!L214,Paramètres!$A$15:$B$18,2,FALSE),0))),0)),0)</f>
        <v>0</v>
      </c>
      <c r="L214" t="n">
        <f>IF(8&lt;=Paramètres!$B$9,MAX(0,IFERROR(N(IF(ISNUMBER(Charges!M214),MAX(0,Charges!M214),IFERROR(VLOOKUP(Charges!M214,Paramètres!$A$15:$B$18,2,FALSE),0))),0)),0)</f>
        <v>0</v>
      </c>
      <c r="M214" t="n">
        <f>IF(9&lt;=Paramètres!$B$9,MAX(0,IFERROR(N(IF(ISNUMBER(Charges!N214),MAX(0,Charges!N214),IFERROR(VLOOKUP(Charges!N214,Paramètres!$A$15:$B$18,2,FALSE),0))),0)),0)</f>
        <v>0</v>
      </c>
      <c r="N214" t="n">
        <f>IF(10&lt;=Paramètres!$B$9,MAX(0,IFERROR(N(IF(ISNUMBER(Charges!O214),MAX(0,Charges!O214),IFERROR(VLOOKUP(Charges!O214,Paramètres!$A$15:$B$18,2,FALSE),0))),0)),0)</f>
        <v>0</v>
      </c>
      <c r="O214" t="n">
        <f>IF(11&lt;=Paramètres!$B$9,MAX(0,IFERROR(N(IF(ISNUMBER(Charges!P214),MAX(0,Charges!P214),IFERROR(VLOOKUP(Charges!P214,Paramètres!$A$15:$B$18,2,FALSE),0))),0)),0)</f>
        <v>0</v>
      </c>
      <c r="P214" t="n">
        <f>IF(12&lt;=Paramètres!$B$9,MAX(0,IFERROR(N(IF(ISNUMBER(Charges!Q214),MAX(0,Charges!Q214),IFERROR(VLOOKUP(Charges!Q214,Paramètres!$A$15:$B$18,2,FALSE),0))),0)),0)</f>
        <v>0</v>
      </c>
      <c r="Q214" t="n">
        <f>IF(13&lt;=Paramètres!$B$9,MAX(0,IFERROR(N(IF(ISNUMBER(Charges!R214),MAX(0,Charges!R214),IFERROR(VLOOKUP(Charges!R214,Paramètres!$A$15:$B$18,2,FALSE),0))),0)),0)</f>
        <v>0</v>
      </c>
      <c r="R214" t="n">
        <f>SUM(E214:Q214)</f>
        <v>0</v>
      </c>
      <c r="S214" t="n">
        <f>IF(IFERROR(VLOOKUP(A214,'Projets'!$A$8:$Z$67,7,FALSE),"")="Engager",1,0)</f>
        <v>0</v>
      </c>
      <c r="T214" t="n">
        <f>IF(OR(Charges!F214="",AND(ISNUMBER(Charges!F214),Charges!F214&gt;=0),Charges!F214="S",Charges!F214="M",Charges!F214="L",Charges!F214="XL"),0,1)+IF(OR(Charges!G214="",AND(ISNUMBER(Charges!G214),Charges!G214&gt;=0),Charges!G214="S",Charges!G214="M",Charges!G214="L",Charges!G214="XL"),0,1)+IF(OR(Charges!H214="",AND(ISNUMBER(Charges!H214),Charges!H214&gt;=0),Charges!H214="S",Charges!H214="M",Charges!H214="L",Charges!H214="XL"),0,1)+IF(OR(Charges!I214="",AND(ISNUMBER(Charges!I214),Charges!I214&gt;=0),Charges!I214="S",Charges!I214="M",Charges!I214="L",Charges!I214="XL"),0,1)+IF(OR(Charges!J214="",AND(ISNUMBER(Charges!J214),Charges!J214&gt;=0),Charges!J214="S",Charges!J214="M",Charges!J214="L",Charges!J214="XL"),0,1)+IF(OR(Charges!K214="",AND(ISNUMBER(Charges!K214),Charges!K214&gt;=0),Charges!K214="S",Charges!K214="M",Charges!K214="L",Charges!K214="XL"),0,1)+IF(OR(Charges!L214="",AND(ISNUMBER(Charges!L214),Charges!L214&gt;=0),Charges!L214="S",Charges!L214="M",Charges!L214="L",Charges!L214="XL"),0,1)+IF(OR(Charges!M214="",AND(ISNUMBER(Charges!M214),Charges!M214&gt;=0),Charges!M214="S",Charges!M214="M",Charges!M214="L",Charges!M214="XL"),0,1)+IF(OR(Charges!N214="",AND(ISNUMBER(Charges!N214),Charges!N214&gt;=0),Charges!N214="S",Charges!N214="M",Charges!N214="L",Charges!N214="XL"),0,1)+IF(OR(Charges!O214="",AND(ISNUMBER(Charges!O214),Charges!O214&gt;=0),Charges!O214="S",Charges!O214="M",Charges!O214="L",Charges!O214="XL"),0,1)+IF(OR(Charges!P214="",AND(ISNUMBER(Charges!P214),Charges!P214&gt;=0),Charges!P214="S",Charges!P214="M",Charges!P214="L",Charges!P214="XL"),0,1)+IF(OR(Charges!Q214="",AND(ISNUMBER(Charges!Q214),Charges!Q214&gt;=0),Charges!Q214="S",Charges!Q214="M",Charges!Q214="L",Charges!Q214="XL"),0,1)+IF(OR(Charges!R214="",AND(ISNUMBER(Charges!R214),Charges!R214&gt;=0),Charges!R214="S",Charges!R214="M",Charges!R214="L",Charges!R214="XL"),0,1)</f>
        <v>0</v>
      </c>
      <c r="U214" t="n">
        <f>IF(AND(1&gt;Paramètres!$B$9,Charges!F214&lt;&gt;"",Charges!F214&lt;&gt;0),1,0)+IF(AND(2&gt;Paramètres!$B$9,Charges!G214&lt;&gt;"",Charges!G214&lt;&gt;0),1,0)+IF(AND(3&gt;Paramètres!$B$9,Charges!H214&lt;&gt;"",Charges!H214&lt;&gt;0),1,0)+IF(AND(4&gt;Paramètres!$B$9,Charges!I214&lt;&gt;"",Charges!I214&lt;&gt;0),1,0)+IF(AND(5&gt;Paramètres!$B$9,Charges!J214&lt;&gt;"",Charges!J214&lt;&gt;0),1,0)+IF(AND(6&gt;Paramètres!$B$9,Charges!K214&lt;&gt;"",Charges!K214&lt;&gt;0),1,0)+IF(AND(7&gt;Paramètres!$B$9,Charges!L214&lt;&gt;"",Charges!L214&lt;&gt;0),1,0)+IF(AND(8&gt;Paramètres!$B$9,Charges!M214&lt;&gt;"",Charges!M214&lt;&gt;0),1,0)+IF(AND(9&gt;Paramètres!$B$9,Charges!N214&lt;&gt;"",Charges!N214&lt;&gt;0),1,0)+IF(AND(10&gt;Paramètres!$B$9,Charges!O214&lt;&gt;"",Charges!O214&lt;&gt;0),1,0)+IF(AND(11&gt;Paramètres!$B$9,Charges!P214&lt;&gt;"",Charges!P214&lt;&gt;0),1,0)+IF(AND(12&gt;Paramètres!$B$9,Charges!Q214&lt;&gt;"",Charges!Q214&lt;&gt;0),1,0)+IF(AND(13&gt;Paramètres!$B$9,Charges!R214&lt;&gt;"",Charges!R214&lt;&gt;0),1,0)</f>
        <v>0</v>
      </c>
      <c r="V214" t="n">
        <f>IF(IFERROR(VLOOKUP(A214,'Projets'!$A$8:$Z$67,5,FALSE),"")="Engager",1,0)</f>
        <v>0</v>
      </c>
      <c r="W214" t="n">
        <f>IF(IFERROR(VLOOKUP(A214,'Projets'!$A$8:$Z$67,6,FALSE),"")="Engager",1,0)</f>
        <v>0</v>
      </c>
      <c r="X214" t="n">
        <f>E214*S214</f>
        <v>0</v>
      </c>
      <c r="Y214" t="n">
        <f>F214*S214</f>
        <v>0</v>
      </c>
      <c r="Z214" t="n">
        <f>G214*S214</f>
        <v>0</v>
      </c>
      <c r="AA214" t="n">
        <f>H214*S214</f>
        <v>0</v>
      </c>
      <c r="AB214" t="n">
        <f>I214*S214</f>
        <v>0</v>
      </c>
      <c r="AC214" t="n">
        <f>J214*S214</f>
        <v>0</v>
      </c>
      <c r="AD214" t="n">
        <f>K214*S214</f>
        <v>0</v>
      </c>
      <c r="AE214" t="n">
        <f>L214*S214</f>
        <v>0</v>
      </c>
      <c r="AF214" t="n">
        <f>M214*S214</f>
        <v>0</v>
      </c>
      <c r="AG214" t="n">
        <f>N214*S214</f>
        <v>0</v>
      </c>
      <c r="AH214" t="n">
        <f>O214*S214</f>
        <v>0</v>
      </c>
      <c r="AI214" t="n">
        <f>P214*S214</f>
        <v>0</v>
      </c>
      <c r="AJ214" t="n">
        <f>Q214*S214</f>
        <v>0</v>
      </c>
      <c r="AK214" t="n">
        <f>E214*V214</f>
        <v>0</v>
      </c>
      <c r="AL214" t="n">
        <f>F214*V214</f>
        <v>0</v>
      </c>
      <c r="AM214" t="n">
        <f>G214*V214</f>
        <v>0</v>
      </c>
      <c r="AN214" t="n">
        <f>H214*V214</f>
        <v>0</v>
      </c>
      <c r="AO214" t="n">
        <f>I214*V214</f>
        <v>0</v>
      </c>
      <c r="AP214" t="n">
        <f>J214*V214</f>
        <v>0</v>
      </c>
      <c r="AQ214" t="n">
        <f>K214*V214</f>
        <v>0</v>
      </c>
      <c r="AR214" t="n">
        <f>L214*V214</f>
        <v>0</v>
      </c>
      <c r="AS214" t="n">
        <f>M214*V214</f>
        <v>0</v>
      </c>
      <c r="AT214" t="n">
        <f>N214*V214</f>
        <v>0</v>
      </c>
      <c r="AU214" t="n">
        <f>O214*V214</f>
        <v>0</v>
      </c>
      <c r="AV214" t="n">
        <f>P214*V214</f>
        <v>0</v>
      </c>
      <c r="AW214" t="n">
        <f>Q214*V214</f>
        <v>0</v>
      </c>
      <c r="AX214" t="n">
        <f>E214*W214</f>
        <v>0</v>
      </c>
      <c r="AY214" t="n">
        <f>F214*W214</f>
        <v>0</v>
      </c>
      <c r="AZ214" t="n">
        <f>G214*W214</f>
        <v>0</v>
      </c>
      <c r="BA214" t="n">
        <f>H214*W214</f>
        <v>0</v>
      </c>
      <c r="BB214" t="n">
        <f>I214*W214</f>
        <v>0</v>
      </c>
      <c r="BC214" t="n">
        <f>J214*W214</f>
        <v>0</v>
      </c>
      <c r="BD214" t="n">
        <f>K214*W214</f>
        <v>0</v>
      </c>
      <c r="BE214" t="n">
        <f>L214*W214</f>
        <v>0</v>
      </c>
      <c r="BF214" t="n">
        <f>M214*W214</f>
        <v>0</v>
      </c>
      <c r="BG214" t="n">
        <f>N214*W214</f>
        <v>0</v>
      </c>
      <c r="BH214" t="n">
        <f>O214*W214</f>
        <v>0</v>
      </c>
      <c r="BI214" t="n">
        <f>P214*W214</f>
        <v>0</v>
      </c>
      <c r="BJ214" t="n">
        <f>Q214*W214</f>
        <v>0</v>
      </c>
    </row>
    <row r="215">
      <c r="A215" t="n">
        <f>Charges!A215</f>
        <v>0</v>
      </c>
      <c r="B215" t="n">
        <f>Charges!C215</f>
        <v>0</v>
      </c>
      <c r="C215" t="str">
        <f>Charges!D215</f>
        <v/>
      </c>
      <c r="E215" t="n">
        <f>IF(1&lt;=Paramètres!$B$9,MAX(0,IFERROR(N(IF(ISNUMBER(Charges!F215),MAX(0,Charges!F215),IFERROR(VLOOKUP(Charges!F215,Paramètres!$A$15:$B$18,2,FALSE),0))),0)),0)</f>
        <v>0</v>
      </c>
      <c r="F215" t="n">
        <f>IF(2&lt;=Paramètres!$B$9,MAX(0,IFERROR(N(IF(ISNUMBER(Charges!G215),MAX(0,Charges!G215),IFERROR(VLOOKUP(Charges!G215,Paramètres!$A$15:$B$18,2,FALSE),0))),0)),0)</f>
        <v>0</v>
      </c>
      <c r="G215" t="n">
        <f>IF(3&lt;=Paramètres!$B$9,MAX(0,IFERROR(N(IF(ISNUMBER(Charges!H215),MAX(0,Charges!H215),IFERROR(VLOOKUP(Charges!H215,Paramètres!$A$15:$B$18,2,FALSE),0))),0)),0)</f>
        <v>0</v>
      </c>
      <c r="H215" t="n">
        <f>IF(4&lt;=Paramètres!$B$9,MAX(0,IFERROR(N(IF(ISNUMBER(Charges!I215),MAX(0,Charges!I215),IFERROR(VLOOKUP(Charges!I215,Paramètres!$A$15:$B$18,2,FALSE),0))),0)),0)</f>
        <v>0</v>
      </c>
      <c r="I215" t="n">
        <f>IF(5&lt;=Paramètres!$B$9,MAX(0,IFERROR(N(IF(ISNUMBER(Charges!J215),MAX(0,Charges!J215),IFERROR(VLOOKUP(Charges!J215,Paramètres!$A$15:$B$18,2,FALSE),0))),0)),0)</f>
        <v>0</v>
      </c>
      <c r="J215" t="n">
        <f>IF(6&lt;=Paramètres!$B$9,MAX(0,IFERROR(N(IF(ISNUMBER(Charges!K215),MAX(0,Charges!K215),IFERROR(VLOOKUP(Charges!K215,Paramètres!$A$15:$B$18,2,FALSE),0))),0)),0)</f>
        <v>0</v>
      </c>
      <c r="K215" t="n">
        <f>IF(7&lt;=Paramètres!$B$9,MAX(0,IFERROR(N(IF(ISNUMBER(Charges!L215),MAX(0,Charges!L215),IFERROR(VLOOKUP(Charges!L215,Paramètres!$A$15:$B$18,2,FALSE),0))),0)),0)</f>
        <v>0</v>
      </c>
      <c r="L215" t="n">
        <f>IF(8&lt;=Paramètres!$B$9,MAX(0,IFERROR(N(IF(ISNUMBER(Charges!M215),MAX(0,Charges!M215),IFERROR(VLOOKUP(Charges!M215,Paramètres!$A$15:$B$18,2,FALSE),0))),0)),0)</f>
        <v>0</v>
      </c>
      <c r="M215" t="n">
        <f>IF(9&lt;=Paramètres!$B$9,MAX(0,IFERROR(N(IF(ISNUMBER(Charges!N215),MAX(0,Charges!N215),IFERROR(VLOOKUP(Charges!N215,Paramètres!$A$15:$B$18,2,FALSE),0))),0)),0)</f>
        <v>0</v>
      </c>
      <c r="N215" t="n">
        <f>IF(10&lt;=Paramètres!$B$9,MAX(0,IFERROR(N(IF(ISNUMBER(Charges!O215),MAX(0,Charges!O215),IFERROR(VLOOKUP(Charges!O215,Paramètres!$A$15:$B$18,2,FALSE),0))),0)),0)</f>
        <v>0</v>
      </c>
      <c r="O215" t="n">
        <f>IF(11&lt;=Paramètres!$B$9,MAX(0,IFERROR(N(IF(ISNUMBER(Charges!P215),MAX(0,Charges!P215),IFERROR(VLOOKUP(Charges!P215,Paramètres!$A$15:$B$18,2,FALSE),0))),0)),0)</f>
        <v>0</v>
      </c>
      <c r="P215" t="n">
        <f>IF(12&lt;=Paramètres!$B$9,MAX(0,IFERROR(N(IF(ISNUMBER(Charges!Q215),MAX(0,Charges!Q215),IFERROR(VLOOKUP(Charges!Q215,Paramètres!$A$15:$B$18,2,FALSE),0))),0)),0)</f>
        <v>0</v>
      </c>
      <c r="Q215" t="n">
        <f>IF(13&lt;=Paramètres!$B$9,MAX(0,IFERROR(N(IF(ISNUMBER(Charges!R215),MAX(0,Charges!R215),IFERROR(VLOOKUP(Charges!R215,Paramètres!$A$15:$B$18,2,FALSE),0))),0)),0)</f>
        <v>0</v>
      </c>
      <c r="R215" t="n">
        <f>SUM(E215:Q215)</f>
        <v>0</v>
      </c>
      <c r="S215" t="n">
        <f>IF(IFERROR(VLOOKUP(A215,'Projets'!$A$8:$Z$67,7,FALSE),"")="Engager",1,0)</f>
        <v>0</v>
      </c>
      <c r="T215" t="n">
        <f>IF(OR(Charges!F215="",AND(ISNUMBER(Charges!F215),Charges!F215&gt;=0),Charges!F215="S",Charges!F215="M",Charges!F215="L",Charges!F215="XL"),0,1)+IF(OR(Charges!G215="",AND(ISNUMBER(Charges!G215),Charges!G215&gt;=0),Charges!G215="S",Charges!G215="M",Charges!G215="L",Charges!G215="XL"),0,1)+IF(OR(Charges!H215="",AND(ISNUMBER(Charges!H215),Charges!H215&gt;=0),Charges!H215="S",Charges!H215="M",Charges!H215="L",Charges!H215="XL"),0,1)+IF(OR(Charges!I215="",AND(ISNUMBER(Charges!I215),Charges!I215&gt;=0),Charges!I215="S",Charges!I215="M",Charges!I215="L",Charges!I215="XL"),0,1)+IF(OR(Charges!J215="",AND(ISNUMBER(Charges!J215),Charges!J215&gt;=0),Charges!J215="S",Charges!J215="M",Charges!J215="L",Charges!J215="XL"),0,1)+IF(OR(Charges!K215="",AND(ISNUMBER(Charges!K215),Charges!K215&gt;=0),Charges!K215="S",Charges!K215="M",Charges!K215="L",Charges!K215="XL"),0,1)+IF(OR(Charges!L215="",AND(ISNUMBER(Charges!L215),Charges!L215&gt;=0),Charges!L215="S",Charges!L215="M",Charges!L215="L",Charges!L215="XL"),0,1)+IF(OR(Charges!M215="",AND(ISNUMBER(Charges!M215),Charges!M215&gt;=0),Charges!M215="S",Charges!M215="M",Charges!M215="L",Charges!M215="XL"),0,1)+IF(OR(Charges!N215="",AND(ISNUMBER(Charges!N215),Charges!N215&gt;=0),Charges!N215="S",Charges!N215="M",Charges!N215="L",Charges!N215="XL"),0,1)+IF(OR(Charges!O215="",AND(ISNUMBER(Charges!O215),Charges!O215&gt;=0),Charges!O215="S",Charges!O215="M",Charges!O215="L",Charges!O215="XL"),0,1)+IF(OR(Charges!P215="",AND(ISNUMBER(Charges!P215),Charges!P215&gt;=0),Charges!P215="S",Charges!P215="M",Charges!P215="L",Charges!P215="XL"),0,1)+IF(OR(Charges!Q215="",AND(ISNUMBER(Charges!Q215),Charges!Q215&gt;=0),Charges!Q215="S",Charges!Q215="M",Charges!Q215="L",Charges!Q215="XL"),0,1)+IF(OR(Charges!R215="",AND(ISNUMBER(Charges!R215),Charges!R215&gt;=0),Charges!R215="S",Charges!R215="M",Charges!R215="L",Charges!R215="XL"),0,1)</f>
        <v>0</v>
      </c>
      <c r="U215" t="n">
        <f>IF(AND(1&gt;Paramètres!$B$9,Charges!F215&lt;&gt;"",Charges!F215&lt;&gt;0),1,0)+IF(AND(2&gt;Paramètres!$B$9,Charges!G215&lt;&gt;"",Charges!G215&lt;&gt;0),1,0)+IF(AND(3&gt;Paramètres!$B$9,Charges!H215&lt;&gt;"",Charges!H215&lt;&gt;0),1,0)+IF(AND(4&gt;Paramètres!$B$9,Charges!I215&lt;&gt;"",Charges!I215&lt;&gt;0),1,0)+IF(AND(5&gt;Paramètres!$B$9,Charges!J215&lt;&gt;"",Charges!J215&lt;&gt;0),1,0)+IF(AND(6&gt;Paramètres!$B$9,Charges!K215&lt;&gt;"",Charges!K215&lt;&gt;0),1,0)+IF(AND(7&gt;Paramètres!$B$9,Charges!L215&lt;&gt;"",Charges!L215&lt;&gt;0),1,0)+IF(AND(8&gt;Paramètres!$B$9,Charges!M215&lt;&gt;"",Charges!M215&lt;&gt;0),1,0)+IF(AND(9&gt;Paramètres!$B$9,Charges!N215&lt;&gt;"",Charges!N215&lt;&gt;0),1,0)+IF(AND(10&gt;Paramètres!$B$9,Charges!O215&lt;&gt;"",Charges!O215&lt;&gt;0),1,0)+IF(AND(11&gt;Paramètres!$B$9,Charges!P215&lt;&gt;"",Charges!P215&lt;&gt;0),1,0)+IF(AND(12&gt;Paramètres!$B$9,Charges!Q215&lt;&gt;"",Charges!Q215&lt;&gt;0),1,0)+IF(AND(13&gt;Paramètres!$B$9,Charges!R215&lt;&gt;"",Charges!R215&lt;&gt;0),1,0)</f>
        <v>0</v>
      </c>
      <c r="V215" t="n">
        <f>IF(IFERROR(VLOOKUP(A215,'Projets'!$A$8:$Z$67,5,FALSE),"")="Engager",1,0)</f>
        <v>0</v>
      </c>
      <c r="W215" t="n">
        <f>IF(IFERROR(VLOOKUP(A215,'Projets'!$A$8:$Z$67,6,FALSE),"")="Engager",1,0)</f>
        <v>0</v>
      </c>
      <c r="X215" t="n">
        <f>E215*S215</f>
        <v>0</v>
      </c>
      <c r="Y215" t="n">
        <f>F215*S215</f>
        <v>0</v>
      </c>
      <c r="Z215" t="n">
        <f>G215*S215</f>
        <v>0</v>
      </c>
      <c r="AA215" t="n">
        <f>H215*S215</f>
        <v>0</v>
      </c>
      <c r="AB215" t="n">
        <f>I215*S215</f>
        <v>0</v>
      </c>
      <c r="AC215" t="n">
        <f>J215*S215</f>
        <v>0</v>
      </c>
      <c r="AD215" t="n">
        <f>K215*S215</f>
        <v>0</v>
      </c>
      <c r="AE215" t="n">
        <f>L215*S215</f>
        <v>0</v>
      </c>
      <c r="AF215" t="n">
        <f>M215*S215</f>
        <v>0</v>
      </c>
      <c r="AG215" t="n">
        <f>N215*S215</f>
        <v>0</v>
      </c>
      <c r="AH215" t="n">
        <f>O215*S215</f>
        <v>0</v>
      </c>
      <c r="AI215" t="n">
        <f>P215*S215</f>
        <v>0</v>
      </c>
      <c r="AJ215" t="n">
        <f>Q215*S215</f>
        <v>0</v>
      </c>
      <c r="AK215" t="n">
        <f>E215*V215</f>
        <v>0</v>
      </c>
      <c r="AL215" t="n">
        <f>F215*V215</f>
        <v>0</v>
      </c>
      <c r="AM215" t="n">
        <f>G215*V215</f>
        <v>0</v>
      </c>
      <c r="AN215" t="n">
        <f>H215*V215</f>
        <v>0</v>
      </c>
      <c r="AO215" t="n">
        <f>I215*V215</f>
        <v>0</v>
      </c>
      <c r="AP215" t="n">
        <f>J215*V215</f>
        <v>0</v>
      </c>
      <c r="AQ215" t="n">
        <f>K215*V215</f>
        <v>0</v>
      </c>
      <c r="AR215" t="n">
        <f>L215*V215</f>
        <v>0</v>
      </c>
      <c r="AS215" t="n">
        <f>M215*V215</f>
        <v>0</v>
      </c>
      <c r="AT215" t="n">
        <f>N215*V215</f>
        <v>0</v>
      </c>
      <c r="AU215" t="n">
        <f>O215*V215</f>
        <v>0</v>
      </c>
      <c r="AV215" t="n">
        <f>P215*V215</f>
        <v>0</v>
      </c>
      <c r="AW215" t="n">
        <f>Q215*V215</f>
        <v>0</v>
      </c>
      <c r="AX215" t="n">
        <f>E215*W215</f>
        <v>0</v>
      </c>
      <c r="AY215" t="n">
        <f>F215*W215</f>
        <v>0</v>
      </c>
      <c r="AZ215" t="n">
        <f>G215*W215</f>
        <v>0</v>
      </c>
      <c r="BA215" t="n">
        <f>H215*W215</f>
        <v>0</v>
      </c>
      <c r="BB215" t="n">
        <f>I215*W215</f>
        <v>0</v>
      </c>
      <c r="BC215" t="n">
        <f>J215*W215</f>
        <v>0</v>
      </c>
      <c r="BD215" t="n">
        <f>K215*W215</f>
        <v>0</v>
      </c>
      <c r="BE215" t="n">
        <f>L215*W215</f>
        <v>0</v>
      </c>
      <c r="BF215" t="n">
        <f>M215*W215</f>
        <v>0</v>
      </c>
      <c r="BG215" t="n">
        <f>N215*W215</f>
        <v>0</v>
      </c>
      <c r="BH215" t="n">
        <f>O215*W215</f>
        <v>0</v>
      </c>
      <c r="BI215" t="n">
        <f>P215*W215</f>
        <v>0</v>
      </c>
      <c r="BJ215" t="n">
        <f>Q215*W215</f>
        <v>0</v>
      </c>
    </row>
    <row r="216">
      <c r="A216" t="n">
        <f>Charges!A216</f>
        <v>0</v>
      </c>
      <c r="B216" t="n">
        <f>Charges!C216</f>
        <v>0</v>
      </c>
      <c r="C216" t="str">
        <f>Charges!D216</f>
        <v/>
      </c>
      <c r="E216" t="n">
        <f>IF(1&lt;=Paramètres!$B$9,MAX(0,IFERROR(N(IF(ISNUMBER(Charges!F216),MAX(0,Charges!F216),IFERROR(VLOOKUP(Charges!F216,Paramètres!$A$15:$B$18,2,FALSE),0))),0)),0)</f>
        <v>0</v>
      </c>
      <c r="F216" t="n">
        <f>IF(2&lt;=Paramètres!$B$9,MAX(0,IFERROR(N(IF(ISNUMBER(Charges!G216),MAX(0,Charges!G216),IFERROR(VLOOKUP(Charges!G216,Paramètres!$A$15:$B$18,2,FALSE),0))),0)),0)</f>
        <v>0</v>
      </c>
      <c r="G216" t="n">
        <f>IF(3&lt;=Paramètres!$B$9,MAX(0,IFERROR(N(IF(ISNUMBER(Charges!H216),MAX(0,Charges!H216),IFERROR(VLOOKUP(Charges!H216,Paramètres!$A$15:$B$18,2,FALSE),0))),0)),0)</f>
        <v>0</v>
      </c>
      <c r="H216" t="n">
        <f>IF(4&lt;=Paramètres!$B$9,MAX(0,IFERROR(N(IF(ISNUMBER(Charges!I216),MAX(0,Charges!I216),IFERROR(VLOOKUP(Charges!I216,Paramètres!$A$15:$B$18,2,FALSE),0))),0)),0)</f>
        <v>0</v>
      </c>
      <c r="I216" t="n">
        <f>IF(5&lt;=Paramètres!$B$9,MAX(0,IFERROR(N(IF(ISNUMBER(Charges!J216),MAX(0,Charges!J216),IFERROR(VLOOKUP(Charges!J216,Paramètres!$A$15:$B$18,2,FALSE),0))),0)),0)</f>
        <v>0</v>
      </c>
      <c r="J216" t="n">
        <f>IF(6&lt;=Paramètres!$B$9,MAX(0,IFERROR(N(IF(ISNUMBER(Charges!K216),MAX(0,Charges!K216),IFERROR(VLOOKUP(Charges!K216,Paramètres!$A$15:$B$18,2,FALSE),0))),0)),0)</f>
        <v>0</v>
      </c>
      <c r="K216" t="n">
        <f>IF(7&lt;=Paramètres!$B$9,MAX(0,IFERROR(N(IF(ISNUMBER(Charges!L216),MAX(0,Charges!L216),IFERROR(VLOOKUP(Charges!L216,Paramètres!$A$15:$B$18,2,FALSE),0))),0)),0)</f>
        <v>0</v>
      </c>
      <c r="L216" t="n">
        <f>IF(8&lt;=Paramètres!$B$9,MAX(0,IFERROR(N(IF(ISNUMBER(Charges!M216),MAX(0,Charges!M216),IFERROR(VLOOKUP(Charges!M216,Paramètres!$A$15:$B$18,2,FALSE),0))),0)),0)</f>
        <v>0</v>
      </c>
      <c r="M216" t="n">
        <f>IF(9&lt;=Paramètres!$B$9,MAX(0,IFERROR(N(IF(ISNUMBER(Charges!N216),MAX(0,Charges!N216),IFERROR(VLOOKUP(Charges!N216,Paramètres!$A$15:$B$18,2,FALSE),0))),0)),0)</f>
        <v>0</v>
      </c>
      <c r="N216" t="n">
        <f>IF(10&lt;=Paramètres!$B$9,MAX(0,IFERROR(N(IF(ISNUMBER(Charges!O216),MAX(0,Charges!O216),IFERROR(VLOOKUP(Charges!O216,Paramètres!$A$15:$B$18,2,FALSE),0))),0)),0)</f>
        <v>0</v>
      </c>
      <c r="O216" t="n">
        <f>IF(11&lt;=Paramètres!$B$9,MAX(0,IFERROR(N(IF(ISNUMBER(Charges!P216),MAX(0,Charges!P216),IFERROR(VLOOKUP(Charges!P216,Paramètres!$A$15:$B$18,2,FALSE),0))),0)),0)</f>
        <v>0</v>
      </c>
      <c r="P216" t="n">
        <f>IF(12&lt;=Paramètres!$B$9,MAX(0,IFERROR(N(IF(ISNUMBER(Charges!Q216),MAX(0,Charges!Q216),IFERROR(VLOOKUP(Charges!Q216,Paramètres!$A$15:$B$18,2,FALSE),0))),0)),0)</f>
        <v>0</v>
      </c>
      <c r="Q216" t="n">
        <f>IF(13&lt;=Paramètres!$B$9,MAX(0,IFERROR(N(IF(ISNUMBER(Charges!R216),MAX(0,Charges!R216),IFERROR(VLOOKUP(Charges!R216,Paramètres!$A$15:$B$18,2,FALSE),0))),0)),0)</f>
        <v>0</v>
      </c>
      <c r="R216" t="n">
        <f>SUM(E216:Q216)</f>
        <v>0</v>
      </c>
      <c r="S216" t="n">
        <f>IF(IFERROR(VLOOKUP(A216,'Projets'!$A$8:$Z$67,7,FALSE),"")="Engager",1,0)</f>
        <v>0</v>
      </c>
      <c r="T216" t="n">
        <f>IF(OR(Charges!F216="",AND(ISNUMBER(Charges!F216),Charges!F216&gt;=0),Charges!F216="S",Charges!F216="M",Charges!F216="L",Charges!F216="XL"),0,1)+IF(OR(Charges!G216="",AND(ISNUMBER(Charges!G216),Charges!G216&gt;=0),Charges!G216="S",Charges!G216="M",Charges!G216="L",Charges!G216="XL"),0,1)+IF(OR(Charges!H216="",AND(ISNUMBER(Charges!H216),Charges!H216&gt;=0),Charges!H216="S",Charges!H216="M",Charges!H216="L",Charges!H216="XL"),0,1)+IF(OR(Charges!I216="",AND(ISNUMBER(Charges!I216),Charges!I216&gt;=0),Charges!I216="S",Charges!I216="M",Charges!I216="L",Charges!I216="XL"),0,1)+IF(OR(Charges!J216="",AND(ISNUMBER(Charges!J216),Charges!J216&gt;=0),Charges!J216="S",Charges!J216="M",Charges!J216="L",Charges!J216="XL"),0,1)+IF(OR(Charges!K216="",AND(ISNUMBER(Charges!K216),Charges!K216&gt;=0),Charges!K216="S",Charges!K216="M",Charges!K216="L",Charges!K216="XL"),0,1)+IF(OR(Charges!L216="",AND(ISNUMBER(Charges!L216),Charges!L216&gt;=0),Charges!L216="S",Charges!L216="M",Charges!L216="L",Charges!L216="XL"),0,1)+IF(OR(Charges!M216="",AND(ISNUMBER(Charges!M216),Charges!M216&gt;=0),Charges!M216="S",Charges!M216="M",Charges!M216="L",Charges!M216="XL"),0,1)+IF(OR(Charges!N216="",AND(ISNUMBER(Charges!N216),Charges!N216&gt;=0),Charges!N216="S",Charges!N216="M",Charges!N216="L",Charges!N216="XL"),0,1)+IF(OR(Charges!O216="",AND(ISNUMBER(Charges!O216),Charges!O216&gt;=0),Charges!O216="S",Charges!O216="M",Charges!O216="L",Charges!O216="XL"),0,1)+IF(OR(Charges!P216="",AND(ISNUMBER(Charges!P216),Charges!P216&gt;=0),Charges!P216="S",Charges!P216="M",Charges!P216="L",Charges!P216="XL"),0,1)+IF(OR(Charges!Q216="",AND(ISNUMBER(Charges!Q216),Charges!Q216&gt;=0),Charges!Q216="S",Charges!Q216="M",Charges!Q216="L",Charges!Q216="XL"),0,1)+IF(OR(Charges!R216="",AND(ISNUMBER(Charges!R216),Charges!R216&gt;=0),Charges!R216="S",Charges!R216="M",Charges!R216="L",Charges!R216="XL"),0,1)</f>
        <v>0</v>
      </c>
      <c r="U216" t="n">
        <f>IF(AND(1&gt;Paramètres!$B$9,Charges!F216&lt;&gt;"",Charges!F216&lt;&gt;0),1,0)+IF(AND(2&gt;Paramètres!$B$9,Charges!G216&lt;&gt;"",Charges!G216&lt;&gt;0),1,0)+IF(AND(3&gt;Paramètres!$B$9,Charges!H216&lt;&gt;"",Charges!H216&lt;&gt;0),1,0)+IF(AND(4&gt;Paramètres!$B$9,Charges!I216&lt;&gt;"",Charges!I216&lt;&gt;0),1,0)+IF(AND(5&gt;Paramètres!$B$9,Charges!J216&lt;&gt;"",Charges!J216&lt;&gt;0),1,0)+IF(AND(6&gt;Paramètres!$B$9,Charges!K216&lt;&gt;"",Charges!K216&lt;&gt;0),1,0)+IF(AND(7&gt;Paramètres!$B$9,Charges!L216&lt;&gt;"",Charges!L216&lt;&gt;0),1,0)+IF(AND(8&gt;Paramètres!$B$9,Charges!M216&lt;&gt;"",Charges!M216&lt;&gt;0),1,0)+IF(AND(9&gt;Paramètres!$B$9,Charges!N216&lt;&gt;"",Charges!N216&lt;&gt;0),1,0)+IF(AND(10&gt;Paramètres!$B$9,Charges!O216&lt;&gt;"",Charges!O216&lt;&gt;0),1,0)+IF(AND(11&gt;Paramètres!$B$9,Charges!P216&lt;&gt;"",Charges!P216&lt;&gt;0),1,0)+IF(AND(12&gt;Paramètres!$B$9,Charges!Q216&lt;&gt;"",Charges!Q216&lt;&gt;0),1,0)+IF(AND(13&gt;Paramètres!$B$9,Charges!R216&lt;&gt;"",Charges!R216&lt;&gt;0),1,0)</f>
        <v>0</v>
      </c>
      <c r="V216" t="n">
        <f>IF(IFERROR(VLOOKUP(A216,'Projets'!$A$8:$Z$67,5,FALSE),"")="Engager",1,0)</f>
        <v>0</v>
      </c>
      <c r="W216" t="n">
        <f>IF(IFERROR(VLOOKUP(A216,'Projets'!$A$8:$Z$67,6,FALSE),"")="Engager",1,0)</f>
        <v>0</v>
      </c>
      <c r="X216" t="n">
        <f>E216*S216</f>
        <v>0</v>
      </c>
      <c r="Y216" t="n">
        <f>F216*S216</f>
        <v>0</v>
      </c>
      <c r="Z216" t="n">
        <f>G216*S216</f>
        <v>0</v>
      </c>
      <c r="AA216" t="n">
        <f>H216*S216</f>
        <v>0</v>
      </c>
      <c r="AB216" t="n">
        <f>I216*S216</f>
        <v>0</v>
      </c>
      <c r="AC216" t="n">
        <f>J216*S216</f>
        <v>0</v>
      </c>
      <c r="AD216" t="n">
        <f>K216*S216</f>
        <v>0</v>
      </c>
      <c r="AE216" t="n">
        <f>L216*S216</f>
        <v>0</v>
      </c>
      <c r="AF216" t="n">
        <f>M216*S216</f>
        <v>0</v>
      </c>
      <c r="AG216" t="n">
        <f>N216*S216</f>
        <v>0</v>
      </c>
      <c r="AH216" t="n">
        <f>O216*S216</f>
        <v>0</v>
      </c>
      <c r="AI216" t="n">
        <f>P216*S216</f>
        <v>0</v>
      </c>
      <c r="AJ216" t="n">
        <f>Q216*S216</f>
        <v>0</v>
      </c>
      <c r="AK216" t="n">
        <f>E216*V216</f>
        <v>0</v>
      </c>
      <c r="AL216" t="n">
        <f>F216*V216</f>
        <v>0</v>
      </c>
      <c r="AM216" t="n">
        <f>G216*V216</f>
        <v>0</v>
      </c>
      <c r="AN216" t="n">
        <f>H216*V216</f>
        <v>0</v>
      </c>
      <c r="AO216" t="n">
        <f>I216*V216</f>
        <v>0</v>
      </c>
      <c r="AP216" t="n">
        <f>J216*V216</f>
        <v>0</v>
      </c>
      <c r="AQ216" t="n">
        <f>K216*V216</f>
        <v>0</v>
      </c>
      <c r="AR216" t="n">
        <f>L216*V216</f>
        <v>0</v>
      </c>
      <c r="AS216" t="n">
        <f>M216*V216</f>
        <v>0</v>
      </c>
      <c r="AT216" t="n">
        <f>N216*V216</f>
        <v>0</v>
      </c>
      <c r="AU216" t="n">
        <f>O216*V216</f>
        <v>0</v>
      </c>
      <c r="AV216" t="n">
        <f>P216*V216</f>
        <v>0</v>
      </c>
      <c r="AW216" t="n">
        <f>Q216*V216</f>
        <v>0</v>
      </c>
      <c r="AX216" t="n">
        <f>E216*W216</f>
        <v>0</v>
      </c>
      <c r="AY216" t="n">
        <f>F216*W216</f>
        <v>0</v>
      </c>
      <c r="AZ216" t="n">
        <f>G216*W216</f>
        <v>0</v>
      </c>
      <c r="BA216" t="n">
        <f>H216*W216</f>
        <v>0</v>
      </c>
      <c r="BB216" t="n">
        <f>I216*W216</f>
        <v>0</v>
      </c>
      <c r="BC216" t="n">
        <f>J216*W216</f>
        <v>0</v>
      </c>
      <c r="BD216" t="n">
        <f>K216*W216</f>
        <v>0</v>
      </c>
      <c r="BE216" t="n">
        <f>L216*W216</f>
        <v>0</v>
      </c>
      <c r="BF216" t="n">
        <f>M216*W216</f>
        <v>0</v>
      </c>
      <c r="BG216" t="n">
        <f>N216*W216</f>
        <v>0</v>
      </c>
      <c r="BH216" t="n">
        <f>O216*W216</f>
        <v>0</v>
      </c>
      <c r="BI216" t="n">
        <f>P216*W216</f>
        <v>0</v>
      </c>
      <c r="BJ216" t="n">
        <f>Q216*W216</f>
        <v>0</v>
      </c>
    </row>
    <row r="217">
      <c r="A217" t="n">
        <f>Charges!A217</f>
        <v>0</v>
      </c>
      <c r="B217" t="n">
        <f>Charges!C217</f>
        <v>0</v>
      </c>
      <c r="C217" t="str">
        <f>Charges!D217</f>
        <v/>
      </c>
      <c r="E217" t="n">
        <f>IF(1&lt;=Paramètres!$B$9,MAX(0,IFERROR(N(IF(ISNUMBER(Charges!F217),MAX(0,Charges!F217),IFERROR(VLOOKUP(Charges!F217,Paramètres!$A$15:$B$18,2,FALSE),0))),0)),0)</f>
        <v>0</v>
      </c>
      <c r="F217" t="n">
        <f>IF(2&lt;=Paramètres!$B$9,MAX(0,IFERROR(N(IF(ISNUMBER(Charges!G217),MAX(0,Charges!G217),IFERROR(VLOOKUP(Charges!G217,Paramètres!$A$15:$B$18,2,FALSE),0))),0)),0)</f>
        <v>0</v>
      </c>
      <c r="G217" t="n">
        <f>IF(3&lt;=Paramètres!$B$9,MAX(0,IFERROR(N(IF(ISNUMBER(Charges!H217),MAX(0,Charges!H217),IFERROR(VLOOKUP(Charges!H217,Paramètres!$A$15:$B$18,2,FALSE),0))),0)),0)</f>
        <v>0</v>
      </c>
      <c r="H217" t="n">
        <f>IF(4&lt;=Paramètres!$B$9,MAX(0,IFERROR(N(IF(ISNUMBER(Charges!I217),MAX(0,Charges!I217),IFERROR(VLOOKUP(Charges!I217,Paramètres!$A$15:$B$18,2,FALSE),0))),0)),0)</f>
        <v>0</v>
      </c>
      <c r="I217" t="n">
        <f>IF(5&lt;=Paramètres!$B$9,MAX(0,IFERROR(N(IF(ISNUMBER(Charges!J217),MAX(0,Charges!J217),IFERROR(VLOOKUP(Charges!J217,Paramètres!$A$15:$B$18,2,FALSE),0))),0)),0)</f>
        <v>0</v>
      </c>
      <c r="J217" t="n">
        <f>IF(6&lt;=Paramètres!$B$9,MAX(0,IFERROR(N(IF(ISNUMBER(Charges!K217),MAX(0,Charges!K217),IFERROR(VLOOKUP(Charges!K217,Paramètres!$A$15:$B$18,2,FALSE),0))),0)),0)</f>
        <v>0</v>
      </c>
      <c r="K217" t="n">
        <f>IF(7&lt;=Paramètres!$B$9,MAX(0,IFERROR(N(IF(ISNUMBER(Charges!L217),MAX(0,Charges!L217),IFERROR(VLOOKUP(Charges!L217,Paramètres!$A$15:$B$18,2,FALSE),0))),0)),0)</f>
        <v>0</v>
      </c>
      <c r="L217" t="n">
        <f>IF(8&lt;=Paramètres!$B$9,MAX(0,IFERROR(N(IF(ISNUMBER(Charges!M217),MAX(0,Charges!M217),IFERROR(VLOOKUP(Charges!M217,Paramètres!$A$15:$B$18,2,FALSE),0))),0)),0)</f>
        <v>0</v>
      </c>
      <c r="M217" t="n">
        <f>IF(9&lt;=Paramètres!$B$9,MAX(0,IFERROR(N(IF(ISNUMBER(Charges!N217),MAX(0,Charges!N217),IFERROR(VLOOKUP(Charges!N217,Paramètres!$A$15:$B$18,2,FALSE),0))),0)),0)</f>
        <v>0</v>
      </c>
      <c r="N217" t="n">
        <f>IF(10&lt;=Paramètres!$B$9,MAX(0,IFERROR(N(IF(ISNUMBER(Charges!O217),MAX(0,Charges!O217),IFERROR(VLOOKUP(Charges!O217,Paramètres!$A$15:$B$18,2,FALSE),0))),0)),0)</f>
        <v>0</v>
      </c>
      <c r="O217" t="n">
        <f>IF(11&lt;=Paramètres!$B$9,MAX(0,IFERROR(N(IF(ISNUMBER(Charges!P217),MAX(0,Charges!P217),IFERROR(VLOOKUP(Charges!P217,Paramètres!$A$15:$B$18,2,FALSE),0))),0)),0)</f>
        <v>0</v>
      </c>
      <c r="P217" t="n">
        <f>IF(12&lt;=Paramètres!$B$9,MAX(0,IFERROR(N(IF(ISNUMBER(Charges!Q217),MAX(0,Charges!Q217),IFERROR(VLOOKUP(Charges!Q217,Paramètres!$A$15:$B$18,2,FALSE),0))),0)),0)</f>
        <v>0</v>
      </c>
      <c r="Q217" t="n">
        <f>IF(13&lt;=Paramètres!$B$9,MAX(0,IFERROR(N(IF(ISNUMBER(Charges!R217),MAX(0,Charges!R217),IFERROR(VLOOKUP(Charges!R217,Paramètres!$A$15:$B$18,2,FALSE),0))),0)),0)</f>
        <v>0</v>
      </c>
      <c r="R217" t="n">
        <f>SUM(E217:Q217)</f>
        <v>0</v>
      </c>
      <c r="S217" t="n">
        <f>IF(IFERROR(VLOOKUP(A217,'Projets'!$A$8:$Z$67,7,FALSE),"")="Engager",1,0)</f>
        <v>0</v>
      </c>
      <c r="T217" t="n">
        <f>IF(OR(Charges!F217="",AND(ISNUMBER(Charges!F217),Charges!F217&gt;=0),Charges!F217="S",Charges!F217="M",Charges!F217="L",Charges!F217="XL"),0,1)+IF(OR(Charges!G217="",AND(ISNUMBER(Charges!G217),Charges!G217&gt;=0),Charges!G217="S",Charges!G217="M",Charges!G217="L",Charges!G217="XL"),0,1)+IF(OR(Charges!H217="",AND(ISNUMBER(Charges!H217),Charges!H217&gt;=0),Charges!H217="S",Charges!H217="M",Charges!H217="L",Charges!H217="XL"),0,1)+IF(OR(Charges!I217="",AND(ISNUMBER(Charges!I217),Charges!I217&gt;=0),Charges!I217="S",Charges!I217="M",Charges!I217="L",Charges!I217="XL"),0,1)+IF(OR(Charges!J217="",AND(ISNUMBER(Charges!J217),Charges!J217&gt;=0),Charges!J217="S",Charges!J217="M",Charges!J217="L",Charges!J217="XL"),0,1)+IF(OR(Charges!K217="",AND(ISNUMBER(Charges!K217),Charges!K217&gt;=0),Charges!K217="S",Charges!K217="M",Charges!K217="L",Charges!K217="XL"),0,1)+IF(OR(Charges!L217="",AND(ISNUMBER(Charges!L217),Charges!L217&gt;=0),Charges!L217="S",Charges!L217="M",Charges!L217="L",Charges!L217="XL"),0,1)+IF(OR(Charges!M217="",AND(ISNUMBER(Charges!M217),Charges!M217&gt;=0),Charges!M217="S",Charges!M217="M",Charges!M217="L",Charges!M217="XL"),0,1)+IF(OR(Charges!N217="",AND(ISNUMBER(Charges!N217),Charges!N217&gt;=0),Charges!N217="S",Charges!N217="M",Charges!N217="L",Charges!N217="XL"),0,1)+IF(OR(Charges!O217="",AND(ISNUMBER(Charges!O217),Charges!O217&gt;=0),Charges!O217="S",Charges!O217="M",Charges!O217="L",Charges!O217="XL"),0,1)+IF(OR(Charges!P217="",AND(ISNUMBER(Charges!P217),Charges!P217&gt;=0),Charges!P217="S",Charges!P217="M",Charges!P217="L",Charges!P217="XL"),0,1)+IF(OR(Charges!Q217="",AND(ISNUMBER(Charges!Q217),Charges!Q217&gt;=0),Charges!Q217="S",Charges!Q217="M",Charges!Q217="L",Charges!Q217="XL"),0,1)+IF(OR(Charges!R217="",AND(ISNUMBER(Charges!R217),Charges!R217&gt;=0),Charges!R217="S",Charges!R217="M",Charges!R217="L",Charges!R217="XL"),0,1)</f>
        <v>0</v>
      </c>
      <c r="U217" t="n">
        <f>IF(AND(1&gt;Paramètres!$B$9,Charges!F217&lt;&gt;"",Charges!F217&lt;&gt;0),1,0)+IF(AND(2&gt;Paramètres!$B$9,Charges!G217&lt;&gt;"",Charges!G217&lt;&gt;0),1,0)+IF(AND(3&gt;Paramètres!$B$9,Charges!H217&lt;&gt;"",Charges!H217&lt;&gt;0),1,0)+IF(AND(4&gt;Paramètres!$B$9,Charges!I217&lt;&gt;"",Charges!I217&lt;&gt;0),1,0)+IF(AND(5&gt;Paramètres!$B$9,Charges!J217&lt;&gt;"",Charges!J217&lt;&gt;0),1,0)+IF(AND(6&gt;Paramètres!$B$9,Charges!K217&lt;&gt;"",Charges!K217&lt;&gt;0),1,0)+IF(AND(7&gt;Paramètres!$B$9,Charges!L217&lt;&gt;"",Charges!L217&lt;&gt;0),1,0)+IF(AND(8&gt;Paramètres!$B$9,Charges!M217&lt;&gt;"",Charges!M217&lt;&gt;0),1,0)+IF(AND(9&gt;Paramètres!$B$9,Charges!N217&lt;&gt;"",Charges!N217&lt;&gt;0),1,0)+IF(AND(10&gt;Paramètres!$B$9,Charges!O217&lt;&gt;"",Charges!O217&lt;&gt;0),1,0)+IF(AND(11&gt;Paramètres!$B$9,Charges!P217&lt;&gt;"",Charges!P217&lt;&gt;0),1,0)+IF(AND(12&gt;Paramètres!$B$9,Charges!Q217&lt;&gt;"",Charges!Q217&lt;&gt;0),1,0)+IF(AND(13&gt;Paramètres!$B$9,Charges!R217&lt;&gt;"",Charges!R217&lt;&gt;0),1,0)</f>
        <v>0</v>
      </c>
      <c r="V217" t="n">
        <f>IF(IFERROR(VLOOKUP(A217,'Projets'!$A$8:$Z$67,5,FALSE),"")="Engager",1,0)</f>
        <v>0</v>
      </c>
      <c r="W217" t="n">
        <f>IF(IFERROR(VLOOKUP(A217,'Projets'!$A$8:$Z$67,6,FALSE),"")="Engager",1,0)</f>
        <v>0</v>
      </c>
      <c r="X217" t="n">
        <f>E217*S217</f>
        <v>0</v>
      </c>
      <c r="Y217" t="n">
        <f>F217*S217</f>
        <v>0</v>
      </c>
      <c r="Z217" t="n">
        <f>G217*S217</f>
        <v>0</v>
      </c>
      <c r="AA217" t="n">
        <f>H217*S217</f>
        <v>0</v>
      </c>
      <c r="AB217" t="n">
        <f>I217*S217</f>
        <v>0</v>
      </c>
      <c r="AC217" t="n">
        <f>J217*S217</f>
        <v>0</v>
      </c>
      <c r="AD217" t="n">
        <f>K217*S217</f>
        <v>0</v>
      </c>
      <c r="AE217" t="n">
        <f>L217*S217</f>
        <v>0</v>
      </c>
      <c r="AF217" t="n">
        <f>M217*S217</f>
        <v>0</v>
      </c>
      <c r="AG217" t="n">
        <f>N217*S217</f>
        <v>0</v>
      </c>
      <c r="AH217" t="n">
        <f>O217*S217</f>
        <v>0</v>
      </c>
      <c r="AI217" t="n">
        <f>P217*S217</f>
        <v>0</v>
      </c>
      <c r="AJ217" t="n">
        <f>Q217*S217</f>
        <v>0</v>
      </c>
      <c r="AK217" t="n">
        <f>E217*V217</f>
        <v>0</v>
      </c>
      <c r="AL217" t="n">
        <f>F217*V217</f>
        <v>0</v>
      </c>
      <c r="AM217" t="n">
        <f>G217*V217</f>
        <v>0</v>
      </c>
      <c r="AN217" t="n">
        <f>H217*V217</f>
        <v>0</v>
      </c>
      <c r="AO217" t="n">
        <f>I217*V217</f>
        <v>0</v>
      </c>
      <c r="AP217" t="n">
        <f>J217*V217</f>
        <v>0</v>
      </c>
      <c r="AQ217" t="n">
        <f>K217*V217</f>
        <v>0</v>
      </c>
      <c r="AR217" t="n">
        <f>L217*V217</f>
        <v>0</v>
      </c>
      <c r="AS217" t="n">
        <f>M217*V217</f>
        <v>0</v>
      </c>
      <c r="AT217" t="n">
        <f>N217*V217</f>
        <v>0</v>
      </c>
      <c r="AU217" t="n">
        <f>O217*V217</f>
        <v>0</v>
      </c>
      <c r="AV217" t="n">
        <f>P217*V217</f>
        <v>0</v>
      </c>
      <c r="AW217" t="n">
        <f>Q217*V217</f>
        <v>0</v>
      </c>
      <c r="AX217" t="n">
        <f>E217*W217</f>
        <v>0</v>
      </c>
      <c r="AY217" t="n">
        <f>F217*W217</f>
        <v>0</v>
      </c>
      <c r="AZ217" t="n">
        <f>G217*W217</f>
        <v>0</v>
      </c>
      <c r="BA217" t="n">
        <f>H217*W217</f>
        <v>0</v>
      </c>
      <c r="BB217" t="n">
        <f>I217*W217</f>
        <v>0</v>
      </c>
      <c r="BC217" t="n">
        <f>J217*W217</f>
        <v>0</v>
      </c>
      <c r="BD217" t="n">
        <f>K217*W217</f>
        <v>0</v>
      </c>
      <c r="BE217" t="n">
        <f>L217*W217</f>
        <v>0</v>
      </c>
      <c r="BF217" t="n">
        <f>M217*W217</f>
        <v>0</v>
      </c>
      <c r="BG217" t="n">
        <f>N217*W217</f>
        <v>0</v>
      </c>
      <c r="BH217" t="n">
        <f>O217*W217</f>
        <v>0</v>
      </c>
      <c r="BI217" t="n">
        <f>P217*W217</f>
        <v>0</v>
      </c>
      <c r="BJ217" t="n">
        <f>Q217*W217</f>
        <v>0</v>
      </c>
    </row>
    <row r="218">
      <c r="A218" t="n">
        <f>Charges!A218</f>
        <v>0</v>
      </c>
      <c r="B218" t="n">
        <f>Charges!C218</f>
        <v>0</v>
      </c>
      <c r="C218" t="str">
        <f>Charges!D218</f>
        <v/>
      </c>
      <c r="E218" t="n">
        <f>IF(1&lt;=Paramètres!$B$9,MAX(0,IFERROR(N(IF(ISNUMBER(Charges!F218),MAX(0,Charges!F218),IFERROR(VLOOKUP(Charges!F218,Paramètres!$A$15:$B$18,2,FALSE),0))),0)),0)</f>
        <v>0</v>
      </c>
      <c r="F218" t="n">
        <f>IF(2&lt;=Paramètres!$B$9,MAX(0,IFERROR(N(IF(ISNUMBER(Charges!G218),MAX(0,Charges!G218),IFERROR(VLOOKUP(Charges!G218,Paramètres!$A$15:$B$18,2,FALSE),0))),0)),0)</f>
        <v>0</v>
      </c>
      <c r="G218" t="n">
        <f>IF(3&lt;=Paramètres!$B$9,MAX(0,IFERROR(N(IF(ISNUMBER(Charges!H218),MAX(0,Charges!H218),IFERROR(VLOOKUP(Charges!H218,Paramètres!$A$15:$B$18,2,FALSE),0))),0)),0)</f>
        <v>0</v>
      </c>
      <c r="H218" t="n">
        <f>IF(4&lt;=Paramètres!$B$9,MAX(0,IFERROR(N(IF(ISNUMBER(Charges!I218),MAX(0,Charges!I218),IFERROR(VLOOKUP(Charges!I218,Paramètres!$A$15:$B$18,2,FALSE),0))),0)),0)</f>
        <v>0</v>
      </c>
      <c r="I218" t="n">
        <f>IF(5&lt;=Paramètres!$B$9,MAX(0,IFERROR(N(IF(ISNUMBER(Charges!J218),MAX(0,Charges!J218),IFERROR(VLOOKUP(Charges!J218,Paramètres!$A$15:$B$18,2,FALSE),0))),0)),0)</f>
        <v>0</v>
      </c>
      <c r="J218" t="n">
        <f>IF(6&lt;=Paramètres!$B$9,MAX(0,IFERROR(N(IF(ISNUMBER(Charges!K218),MAX(0,Charges!K218),IFERROR(VLOOKUP(Charges!K218,Paramètres!$A$15:$B$18,2,FALSE),0))),0)),0)</f>
        <v>0</v>
      </c>
      <c r="K218" t="n">
        <f>IF(7&lt;=Paramètres!$B$9,MAX(0,IFERROR(N(IF(ISNUMBER(Charges!L218),MAX(0,Charges!L218),IFERROR(VLOOKUP(Charges!L218,Paramètres!$A$15:$B$18,2,FALSE),0))),0)),0)</f>
        <v>0</v>
      </c>
      <c r="L218" t="n">
        <f>IF(8&lt;=Paramètres!$B$9,MAX(0,IFERROR(N(IF(ISNUMBER(Charges!M218),MAX(0,Charges!M218),IFERROR(VLOOKUP(Charges!M218,Paramètres!$A$15:$B$18,2,FALSE),0))),0)),0)</f>
        <v>0</v>
      </c>
      <c r="M218" t="n">
        <f>IF(9&lt;=Paramètres!$B$9,MAX(0,IFERROR(N(IF(ISNUMBER(Charges!N218),MAX(0,Charges!N218),IFERROR(VLOOKUP(Charges!N218,Paramètres!$A$15:$B$18,2,FALSE),0))),0)),0)</f>
        <v>0</v>
      </c>
      <c r="N218" t="n">
        <f>IF(10&lt;=Paramètres!$B$9,MAX(0,IFERROR(N(IF(ISNUMBER(Charges!O218),MAX(0,Charges!O218),IFERROR(VLOOKUP(Charges!O218,Paramètres!$A$15:$B$18,2,FALSE),0))),0)),0)</f>
        <v>0</v>
      </c>
      <c r="O218" t="n">
        <f>IF(11&lt;=Paramètres!$B$9,MAX(0,IFERROR(N(IF(ISNUMBER(Charges!P218),MAX(0,Charges!P218),IFERROR(VLOOKUP(Charges!P218,Paramètres!$A$15:$B$18,2,FALSE),0))),0)),0)</f>
        <v>0</v>
      </c>
      <c r="P218" t="n">
        <f>IF(12&lt;=Paramètres!$B$9,MAX(0,IFERROR(N(IF(ISNUMBER(Charges!Q218),MAX(0,Charges!Q218),IFERROR(VLOOKUP(Charges!Q218,Paramètres!$A$15:$B$18,2,FALSE),0))),0)),0)</f>
        <v>0</v>
      </c>
      <c r="Q218" t="n">
        <f>IF(13&lt;=Paramètres!$B$9,MAX(0,IFERROR(N(IF(ISNUMBER(Charges!R218),MAX(0,Charges!R218),IFERROR(VLOOKUP(Charges!R218,Paramètres!$A$15:$B$18,2,FALSE),0))),0)),0)</f>
        <v>0</v>
      </c>
      <c r="R218" t="n">
        <f>SUM(E218:Q218)</f>
        <v>0</v>
      </c>
      <c r="S218" t="n">
        <f>IF(IFERROR(VLOOKUP(A218,'Projets'!$A$8:$Z$67,7,FALSE),"")="Engager",1,0)</f>
        <v>0</v>
      </c>
      <c r="T218" t="n">
        <f>IF(OR(Charges!F218="",AND(ISNUMBER(Charges!F218),Charges!F218&gt;=0),Charges!F218="S",Charges!F218="M",Charges!F218="L",Charges!F218="XL"),0,1)+IF(OR(Charges!G218="",AND(ISNUMBER(Charges!G218),Charges!G218&gt;=0),Charges!G218="S",Charges!G218="M",Charges!G218="L",Charges!G218="XL"),0,1)+IF(OR(Charges!H218="",AND(ISNUMBER(Charges!H218),Charges!H218&gt;=0),Charges!H218="S",Charges!H218="M",Charges!H218="L",Charges!H218="XL"),0,1)+IF(OR(Charges!I218="",AND(ISNUMBER(Charges!I218),Charges!I218&gt;=0),Charges!I218="S",Charges!I218="M",Charges!I218="L",Charges!I218="XL"),0,1)+IF(OR(Charges!J218="",AND(ISNUMBER(Charges!J218),Charges!J218&gt;=0),Charges!J218="S",Charges!J218="M",Charges!J218="L",Charges!J218="XL"),0,1)+IF(OR(Charges!K218="",AND(ISNUMBER(Charges!K218),Charges!K218&gt;=0),Charges!K218="S",Charges!K218="M",Charges!K218="L",Charges!K218="XL"),0,1)+IF(OR(Charges!L218="",AND(ISNUMBER(Charges!L218),Charges!L218&gt;=0),Charges!L218="S",Charges!L218="M",Charges!L218="L",Charges!L218="XL"),0,1)+IF(OR(Charges!M218="",AND(ISNUMBER(Charges!M218),Charges!M218&gt;=0),Charges!M218="S",Charges!M218="M",Charges!M218="L",Charges!M218="XL"),0,1)+IF(OR(Charges!N218="",AND(ISNUMBER(Charges!N218),Charges!N218&gt;=0),Charges!N218="S",Charges!N218="M",Charges!N218="L",Charges!N218="XL"),0,1)+IF(OR(Charges!O218="",AND(ISNUMBER(Charges!O218),Charges!O218&gt;=0),Charges!O218="S",Charges!O218="M",Charges!O218="L",Charges!O218="XL"),0,1)+IF(OR(Charges!P218="",AND(ISNUMBER(Charges!P218),Charges!P218&gt;=0),Charges!P218="S",Charges!P218="M",Charges!P218="L",Charges!P218="XL"),0,1)+IF(OR(Charges!Q218="",AND(ISNUMBER(Charges!Q218),Charges!Q218&gt;=0),Charges!Q218="S",Charges!Q218="M",Charges!Q218="L",Charges!Q218="XL"),0,1)+IF(OR(Charges!R218="",AND(ISNUMBER(Charges!R218),Charges!R218&gt;=0),Charges!R218="S",Charges!R218="M",Charges!R218="L",Charges!R218="XL"),0,1)</f>
        <v>0</v>
      </c>
      <c r="U218" t="n">
        <f>IF(AND(1&gt;Paramètres!$B$9,Charges!F218&lt;&gt;"",Charges!F218&lt;&gt;0),1,0)+IF(AND(2&gt;Paramètres!$B$9,Charges!G218&lt;&gt;"",Charges!G218&lt;&gt;0),1,0)+IF(AND(3&gt;Paramètres!$B$9,Charges!H218&lt;&gt;"",Charges!H218&lt;&gt;0),1,0)+IF(AND(4&gt;Paramètres!$B$9,Charges!I218&lt;&gt;"",Charges!I218&lt;&gt;0),1,0)+IF(AND(5&gt;Paramètres!$B$9,Charges!J218&lt;&gt;"",Charges!J218&lt;&gt;0),1,0)+IF(AND(6&gt;Paramètres!$B$9,Charges!K218&lt;&gt;"",Charges!K218&lt;&gt;0),1,0)+IF(AND(7&gt;Paramètres!$B$9,Charges!L218&lt;&gt;"",Charges!L218&lt;&gt;0),1,0)+IF(AND(8&gt;Paramètres!$B$9,Charges!M218&lt;&gt;"",Charges!M218&lt;&gt;0),1,0)+IF(AND(9&gt;Paramètres!$B$9,Charges!N218&lt;&gt;"",Charges!N218&lt;&gt;0),1,0)+IF(AND(10&gt;Paramètres!$B$9,Charges!O218&lt;&gt;"",Charges!O218&lt;&gt;0),1,0)+IF(AND(11&gt;Paramètres!$B$9,Charges!P218&lt;&gt;"",Charges!P218&lt;&gt;0),1,0)+IF(AND(12&gt;Paramètres!$B$9,Charges!Q218&lt;&gt;"",Charges!Q218&lt;&gt;0),1,0)+IF(AND(13&gt;Paramètres!$B$9,Charges!R218&lt;&gt;"",Charges!R218&lt;&gt;0),1,0)</f>
        <v>0</v>
      </c>
      <c r="V218" t="n">
        <f>IF(IFERROR(VLOOKUP(A218,'Projets'!$A$8:$Z$67,5,FALSE),"")="Engager",1,0)</f>
        <v>0</v>
      </c>
      <c r="W218" t="n">
        <f>IF(IFERROR(VLOOKUP(A218,'Projets'!$A$8:$Z$67,6,FALSE),"")="Engager",1,0)</f>
        <v>0</v>
      </c>
      <c r="X218" t="n">
        <f>E218*S218</f>
        <v>0</v>
      </c>
      <c r="Y218" t="n">
        <f>F218*S218</f>
        <v>0</v>
      </c>
      <c r="Z218" t="n">
        <f>G218*S218</f>
        <v>0</v>
      </c>
      <c r="AA218" t="n">
        <f>H218*S218</f>
        <v>0</v>
      </c>
      <c r="AB218" t="n">
        <f>I218*S218</f>
        <v>0</v>
      </c>
      <c r="AC218" t="n">
        <f>J218*S218</f>
        <v>0</v>
      </c>
      <c r="AD218" t="n">
        <f>K218*S218</f>
        <v>0</v>
      </c>
      <c r="AE218" t="n">
        <f>L218*S218</f>
        <v>0</v>
      </c>
      <c r="AF218" t="n">
        <f>M218*S218</f>
        <v>0</v>
      </c>
      <c r="AG218" t="n">
        <f>N218*S218</f>
        <v>0</v>
      </c>
      <c r="AH218" t="n">
        <f>O218*S218</f>
        <v>0</v>
      </c>
      <c r="AI218" t="n">
        <f>P218*S218</f>
        <v>0</v>
      </c>
      <c r="AJ218" t="n">
        <f>Q218*S218</f>
        <v>0</v>
      </c>
      <c r="AK218" t="n">
        <f>E218*V218</f>
        <v>0</v>
      </c>
      <c r="AL218" t="n">
        <f>F218*V218</f>
        <v>0</v>
      </c>
      <c r="AM218" t="n">
        <f>G218*V218</f>
        <v>0</v>
      </c>
      <c r="AN218" t="n">
        <f>H218*V218</f>
        <v>0</v>
      </c>
      <c r="AO218" t="n">
        <f>I218*V218</f>
        <v>0</v>
      </c>
      <c r="AP218" t="n">
        <f>J218*V218</f>
        <v>0</v>
      </c>
      <c r="AQ218" t="n">
        <f>K218*V218</f>
        <v>0</v>
      </c>
      <c r="AR218" t="n">
        <f>L218*V218</f>
        <v>0</v>
      </c>
      <c r="AS218" t="n">
        <f>M218*V218</f>
        <v>0</v>
      </c>
      <c r="AT218" t="n">
        <f>N218*V218</f>
        <v>0</v>
      </c>
      <c r="AU218" t="n">
        <f>O218*V218</f>
        <v>0</v>
      </c>
      <c r="AV218" t="n">
        <f>P218*V218</f>
        <v>0</v>
      </c>
      <c r="AW218" t="n">
        <f>Q218*V218</f>
        <v>0</v>
      </c>
      <c r="AX218" t="n">
        <f>E218*W218</f>
        <v>0</v>
      </c>
      <c r="AY218" t="n">
        <f>F218*W218</f>
        <v>0</v>
      </c>
      <c r="AZ218" t="n">
        <f>G218*W218</f>
        <v>0</v>
      </c>
      <c r="BA218" t="n">
        <f>H218*W218</f>
        <v>0</v>
      </c>
      <c r="BB218" t="n">
        <f>I218*W218</f>
        <v>0</v>
      </c>
      <c r="BC218" t="n">
        <f>J218*W218</f>
        <v>0</v>
      </c>
      <c r="BD218" t="n">
        <f>K218*W218</f>
        <v>0</v>
      </c>
      <c r="BE218" t="n">
        <f>L218*W218</f>
        <v>0</v>
      </c>
      <c r="BF218" t="n">
        <f>M218*W218</f>
        <v>0</v>
      </c>
      <c r="BG218" t="n">
        <f>N218*W218</f>
        <v>0</v>
      </c>
      <c r="BH218" t="n">
        <f>O218*W218</f>
        <v>0</v>
      </c>
      <c r="BI218" t="n">
        <f>P218*W218</f>
        <v>0</v>
      </c>
      <c r="BJ218" t="n">
        <f>Q218*W218</f>
        <v>0</v>
      </c>
    </row>
    <row r="219">
      <c r="A219" t="n">
        <f>Charges!A219</f>
        <v>0</v>
      </c>
      <c r="B219" t="n">
        <f>Charges!C219</f>
        <v>0</v>
      </c>
      <c r="C219" t="str">
        <f>Charges!D219</f>
        <v/>
      </c>
      <c r="E219" t="n">
        <f>IF(1&lt;=Paramètres!$B$9,MAX(0,IFERROR(N(IF(ISNUMBER(Charges!F219),MAX(0,Charges!F219),IFERROR(VLOOKUP(Charges!F219,Paramètres!$A$15:$B$18,2,FALSE),0))),0)),0)</f>
        <v>0</v>
      </c>
      <c r="F219" t="n">
        <f>IF(2&lt;=Paramètres!$B$9,MAX(0,IFERROR(N(IF(ISNUMBER(Charges!G219),MAX(0,Charges!G219),IFERROR(VLOOKUP(Charges!G219,Paramètres!$A$15:$B$18,2,FALSE),0))),0)),0)</f>
        <v>0</v>
      </c>
      <c r="G219" t="n">
        <f>IF(3&lt;=Paramètres!$B$9,MAX(0,IFERROR(N(IF(ISNUMBER(Charges!H219),MAX(0,Charges!H219),IFERROR(VLOOKUP(Charges!H219,Paramètres!$A$15:$B$18,2,FALSE),0))),0)),0)</f>
        <v>0</v>
      </c>
      <c r="H219" t="n">
        <f>IF(4&lt;=Paramètres!$B$9,MAX(0,IFERROR(N(IF(ISNUMBER(Charges!I219),MAX(0,Charges!I219),IFERROR(VLOOKUP(Charges!I219,Paramètres!$A$15:$B$18,2,FALSE),0))),0)),0)</f>
        <v>0</v>
      </c>
      <c r="I219" t="n">
        <f>IF(5&lt;=Paramètres!$B$9,MAX(0,IFERROR(N(IF(ISNUMBER(Charges!J219),MAX(0,Charges!J219),IFERROR(VLOOKUP(Charges!J219,Paramètres!$A$15:$B$18,2,FALSE),0))),0)),0)</f>
        <v>0</v>
      </c>
      <c r="J219" t="n">
        <f>IF(6&lt;=Paramètres!$B$9,MAX(0,IFERROR(N(IF(ISNUMBER(Charges!K219),MAX(0,Charges!K219),IFERROR(VLOOKUP(Charges!K219,Paramètres!$A$15:$B$18,2,FALSE),0))),0)),0)</f>
        <v>0</v>
      </c>
      <c r="K219" t="n">
        <f>IF(7&lt;=Paramètres!$B$9,MAX(0,IFERROR(N(IF(ISNUMBER(Charges!L219),MAX(0,Charges!L219),IFERROR(VLOOKUP(Charges!L219,Paramètres!$A$15:$B$18,2,FALSE),0))),0)),0)</f>
        <v>0</v>
      </c>
      <c r="L219" t="n">
        <f>IF(8&lt;=Paramètres!$B$9,MAX(0,IFERROR(N(IF(ISNUMBER(Charges!M219),MAX(0,Charges!M219),IFERROR(VLOOKUP(Charges!M219,Paramètres!$A$15:$B$18,2,FALSE),0))),0)),0)</f>
        <v>0</v>
      </c>
      <c r="M219" t="n">
        <f>IF(9&lt;=Paramètres!$B$9,MAX(0,IFERROR(N(IF(ISNUMBER(Charges!N219),MAX(0,Charges!N219),IFERROR(VLOOKUP(Charges!N219,Paramètres!$A$15:$B$18,2,FALSE),0))),0)),0)</f>
        <v>0</v>
      </c>
      <c r="N219" t="n">
        <f>IF(10&lt;=Paramètres!$B$9,MAX(0,IFERROR(N(IF(ISNUMBER(Charges!O219),MAX(0,Charges!O219),IFERROR(VLOOKUP(Charges!O219,Paramètres!$A$15:$B$18,2,FALSE),0))),0)),0)</f>
        <v>0</v>
      </c>
      <c r="O219" t="n">
        <f>IF(11&lt;=Paramètres!$B$9,MAX(0,IFERROR(N(IF(ISNUMBER(Charges!P219),MAX(0,Charges!P219),IFERROR(VLOOKUP(Charges!P219,Paramètres!$A$15:$B$18,2,FALSE),0))),0)),0)</f>
        <v>0</v>
      </c>
      <c r="P219" t="n">
        <f>IF(12&lt;=Paramètres!$B$9,MAX(0,IFERROR(N(IF(ISNUMBER(Charges!Q219),MAX(0,Charges!Q219),IFERROR(VLOOKUP(Charges!Q219,Paramètres!$A$15:$B$18,2,FALSE),0))),0)),0)</f>
        <v>0</v>
      </c>
      <c r="Q219" t="n">
        <f>IF(13&lt;=Paramètres!$B$9,MAX(0,IFERROR(N(IF(ISNUMBER(Charges!R219),MAX(0,Charges!R219),IFERROR(VLOOKUP(Charges!R219,Paramètres!$A$15:$B$18,2,FALSE),0))),0)),0)</f>
        <v>0</v>
      </c>
      <c r="R219" t="n">
        <f>SUM(E219:Q219)</f>
        <v>0</v>
      </c>
      <c r="S219" t="n">
        <f>IF(IFERROR(VLOOKUP(A219,'Projets'!$A$8:$Z$67,7,FALSE),"")="Engager",1,0)</f>
        <v>0</v>
      </c>
      <c r="T219" t="n">
        <f>IF(OR(Charges!F219="",AND(ISNUMBER(Charges!F219),Charges!F219&gt;=0),Charges!F219="S",Charges!F219="M",Charges!F219="L",Charges!F219="XL"),0,1)+IF(OR(Charges!G219="",AND(ISNUMBER(Charges!G219),Charges!G219&gt;=0),Charges!G219="S",Charges!G219="M",Charges!G219="L",Charges!G219="XL"),0,1)+IF(OR(Charges!H219="",AND(ISNUMBER(Charges!H219),Charges!H219&gt;=0),Charges!H219="S",Charges!H219="M",Charges!H219="L",Charges!H219="XL"),0,1)+IF(OR(Charges!I219="",AND(ISNUMBER(Charges!I219),Charges!I219&gt;=0),Charges!I219="S",Charges!I219="M",Charges!I219="L",Charges!I219="XL"),0,1)+IF(OR(Charges!J219="",AND(ISNUMBER(Charges!J219),Charges!J219&gt;=0),Charges!J219="S",Charges!J219="M",Charges!J219="L",Charges!J219="XL"),0,1)+IF(OR(Charges!K219="",AND(ISNUMBER(Charges!K219),Charges!K219&gt;=0),Charges!K219="S",Charges!K219="M",Charges!K219="L",Charges!K219="XL"),0,1)+IF(OR(Charges!L219="",AND(ISNUMBER(Charges!L219),Charges!L219&gt;=0),Charges!L219="S",Charges!L219="M",Charges!L219="L",Charges!L219="XL"),0,1)+IF(OR(Charges!M219="",AND(ISNUMBER(Charges!M219),Charges!M219&gt;=0),Charges!M219="S",Charges!M219="M",Charges!M219="L",Charges!M219="XL"),0,1)+IF(OR(Charges!N219="",AND(ISNUMBER(Charges!N219),Charges!N219&gt;=0),Charges!N219="S",Charges!N219="M",Charges!N219="L",Charges!N219="XL"),0,1)+IF(OR(Charges!O219="",AND(ISNUMBER(Charges!O219),Charges!O219&gt;=0),Charges!O219="S",Charges!O219="M",Charges!O219="L",Charges!O219="XL"),0,1)+IF(OR(Charges!P219="",AND(ISNUMBER(Charges!P219),Charges!P219&gt;=0),Charges!P219="S",Charges!P219="M",Charges!P219="L",Charges!P219="XL"),0,1)+IF(OR(Charges!Q219="",AND(ISNUMBER(Charges!Q219),Charges!Q219&gt;=0),Charges!Q219="S",Charges!Q219="M",Charges!Q219="L",Charges!Q219="XL"),0,1)+IF(OR(Charges!R219="",AND(ISNUMBER(Charges!R219),Charges!R219&gt;=0),Charges!R219="S",Charges!R219="M",Charges!R219="L",Charges!R219="XL"),0,1)</f>
        <v>0</v>
      </c>
      <c r="U219" t="n">
        <f>IF(AND(1&gt;Paramètres!$B$9,Charges!F219&lt;&gt;"",Charges!F219&lt;&gt;0),1,0)+IF(AND(2&gt;Paramètres!$B$9,Charges!G219&lt;&gt;"",Charges!G219&lt;&gt;0),1,0)+IF(AND(3&gt;Paramètres!$B$9,Charges!H219&lt;&gt;"",Charges!H219&lt;&gt;0),1,0)+IF(AND(4&gt;Paramètres!$B$9,Charges!I219&lt;&gt;"",Charges!I219&lt;&gt;0),1,0)+IF(AND(5&gt;Paramètres!$B$9,Charges!J219&lt;&gt;"",Charges!J219&lt;&gt;0),1,0)+IF(AND(6&gt;Paramètres!$B$9,Charges!K219&lt;&gt;"",Charges!K219&lt;&gt;0),1,0)+IF(AND(7&gt;Paramètres!$B$9,Charges!L219&lt;&gt;"",Charges!L219&lt;&gt;0),1,0)+IF(AND(8&gt;Paramètres!$B$9,Charges!M219&lt;&gt;"",Charges!M219&lt;&gt;0),1,0)+IF(AND(9&gt;Paramètres!$B$9,Charges!N219&lt;&gt;"",Charges!N219&lt;&gt;0),1,0)+IF(AND(10&gt;Paramètres!$B$9,Charges!O219&lt;&gt;"",Charges!O219&lt;&gt;0),1,0)+IF(AND(11&gt;Paramètres!$B$9,Charges!P219&lt;&gt;"",Charges!P219&lt;&gt;0),1,0)+IF(AND(12&gt;Paramètres!$B$9,Charges!Q219&lt;&gt;"",Charges!Q219&lt;&gt;0),1,0)+IF(AND(13&gt;Paramètres!$B$9,Charges!R219&lt;&gt;"",Charges!R219&lt;&gt;0),1,0)</f>
        <v>0</v>
      </c>
      <c r="V219" t="n">
        <f>IF(IFERROR(VLOOKUP(A219,'Projets'!$A$8:$Z$67,5,FALSE),"")="Engager",1,0)</f>
        <v>0</v>
      </c>
      <c r="W219" t="n">
        <f>IF(IFERROR(VLOOKUP(A219,'Projets'!$A$8:$Z$67,6,FALSE),"")="Engager",1,0)</f>
        <v>0</v>
      </c>
      <c r="X219" t="n">
        <f>E219*S219</f>
        <v>0</v>
      </c>
      <c r="Y219" t="n">
        <f>F219*S219</f>
        <v>0</v>
      </c>
      <c r="Z219" t="n">
        <f>G219*S219</f>
        <v>0</v>
      </c>
      <c r="AA219" t="n">
        <f>H219*S219</f>
        <v>0</v>
      </c>
      <c r="AB219" t="n">
        <f>I219*S219</f>
        <v>0</v>
      </c>
      <c r="AC219" t="n">
        <f>J219*S219</f>
        <v>0</v>
      </c>
      <c r="AD219" t="n">
        <f>K219*S219</f>
        <v>0</v>
      </c>
      <c r="AE219" t="n">
        <f>L219*S219</f>
        <v>0</v>
      </c>
      <c r="AF219" t="n">
        <f>M219*S219</f>
        <v>0</v>
      </c>
      <c r="AG219" t="n">
        <f>N219*S219</f>
        <v>0</v>
      </c>
      <c r="AH219" t="n">
        <f>O219*S219</f>
        <v>0</v>
      </c>
      <c r="AI219" t="n">
        <f>P219*S219</f>
        <v>0</v>
      </c>
      <c r="AJ219" t="n">
        <f>Q219*S219</f>
        <v>0</v>
      </c>
      <c r="AK219" t="n">
        <f>E219*V219</f>
        <v>0</v>
      </c>
      <c r="AL219" t="n">
        <f>F219*V219</f>
        <v>0</v>
      </c>
      <c r="AM219" t="n">
        <f>G219*V219</f>
        <v>0</v>
      </c>
      <c r="AN219" t="n">
        <f>H219*V219</f>
        <v>0</v>
      </c>
      <c r="AO219" t="n">
        <f>I219*V219</f>
        <v>0</v>
      </c>
      <c r="AP219" t="n">
        <f>J219*V219</f>
        <v>0</v>
      </c>
      <c r="AQ219" t="n">
        <f>K219*V219</f>
        <v>0</v>
      </c>
      <c r="AR219" t="n">
        <f>L219*V219</f>
        <v>0</v>
      </c>
      <c r="AS219" t="n">
        <f>M219*V219</f>
        <v>0</v>
      </c>
      <c r="AT219" t="n">
        <f>N219*V219</f>
        <v>0</v>
      </c>
      <c r="AU219" t="n">
        <f>O219*V219</f>
        <v>0</v>
      </c>
      <c r="AV219" t="n">
        <f>P219*V219</f>
        <v>0</v>
      </c>
      <c r="AW219" t="n">
        <f>Q219*V219</f>
        <v>0</v>
      </c>
      <c r="AX219" t="n">
        <f>E219*W219</f>
        <v>0</v>
      </c>
      <c r="AY219" t="n">
        <f>F219*W219</f>
        <v>0</v>
      </c>
      <c r="AZ219" t="n">
        <f>G219*W219</f>
        <v>0</v>
      </c>
      <c r="BA219" t="n">
        <f>H219*W219</f>
        <v>0</v>
      </c>
      <c r="BB219" t="n">
        <f>I219*W219</f>
        <v>0</v>
      </c>
      <c r="BC219" t="n">
        <f>J219*W219</f>
        <v>0</v>
      </c>
      <c r="BD219" t="n">
        <f>K219*W219</f>
        <v>0</v>
      </c>
      <c r="BE219" t="n">
        <f>L219*W219</f>
        <v>0</v>
      </c>
      <c r="BF219" t="n">
        <f>M219*W219</f>
        <v>0</v>
      </c>
      <c r="BG219" t="n">
        <f>N219*W219</f>
        <v>0</v>
      </c>
      <c r="BH219" t="n">
        <f>O219*W219</f>
        <v>0</v>
      </c>
      <c r="BI219" t="n">
        <f>P219*W219</f>
        <v>0</v>
      </c>
      <c r="BJ219" t="n">
        <f>Q219*W219</f>
        <v>0</v>
      </c>
    </row>
    <row r="220">
      <c r="A220" t="n">
        <f>Charges!A220</f>
        <v>0</v>
      </c>
      <c r="B220" t="n">
        <f>Charges!C220</f>
        <v>0</v>
      </c>
      <c r="C220" t="str">
        <f>Charges!D220</f>
        <v/>
      </c>
      <c r="E220" t="n">
        <f>IF(1&lt;=Paramètres!$B$9,MAX(0,IFERROR(N(IF(ISNUMBER(Charges!F220),MAX(0,Charges!F220),IFERROR(VLOOKUP(Charges!F220,Paramètres!$A$15:$B$18,2,FALSE),0))),0)),0)</f>
        <v>0</v>
      </c>
      <c r="F220" t="n">
        <f>IF(2&lt;=Paramètres!$B$9,MAX(0,IFERROR(N(IF(ISNUMBER(Charges!G220),MAX(0,Charges!G220),IFERROR(VLOOKUP(Charges!G220,Paramètres!$A$15:$B$18,2,FALSE),0))),0)),0)</f>
        <v>0</v>
      </c>
      <c r="G220" t="n">
        <f>IF(3&lt;=Paramètres!$B$9,MAX(0,IFERROR(N(IF(ISNUMBER(Charges!H220),MAX(0,Charges!H220),IFERROR(VLOOKUP(Charges!H220,Paramètres!$A$15:$B$18,2,FALSE),0))),0)),0)</f>
        <v>0</v>
      </c>
      <c r="H220" t="n">
        <f>IF(4&lt;=Paramètres!$B$9,MAX(0,IFERROR(N(IF(ISNUMBER(Charges!I220),MAX(0,Charges!I220),IFERROR(VLOOKUP(Charges!I220,Paramètres!$A$15:$B$18,2,FALSE),0))),0)),0)</f>
        <v>0</v>
      </c>
      <c r="I220" t="n">
        <f>IF(5&lt;=Paramètres!$B$9,MAX(0,IFERROR(N(IF(ISNUMBER(Charges!J220),MAX(0,Charges!J220),IFERROR(VLOOKUP(Charges!J220,Paramètres!$A$15:$B$18,2,FALSE),0))),0)),0)</f>
        <v>0</v>
      </c>
      <c r="J220" t="n">
        <f>IF(6&lt;=Paramètres!$B$9,MAX(0,IFERROR(N(IF(ISNUMBER(Charges!K220),MAX(0,Charges!K220),IFERROR(VLOOKUP(Charges!K220,Paramètres!$A$15:$B$18,2,FALSE),0))),0)),0)</f>
        <v>0</v>
      </c>
      <c r="K220" t="n">
        <f>IF(7&lt;=Paramètres!$B$9,MAX(0,IFERROR(N(IF(ISNUMBER(Charges!L220),MAX(0,Charges!L220),IFERROR(VLOOKUP(Charges!L220,Paramètres!$A$15:$B$18,2,FALSE),0))),0)),0)</f>
        <v>0</v>
      </c>
      <c r="L220" t="n">
        <f>IF(8&lt;=Paramètres!$B$9,MAX(0,IFERROR(N(IF(ISNUMBER(Charges!M220),MAX(0,Charges!M220),IFERROR(VLOOKUP(Charges!M220,Paramètres!$A$15:$B$18,2,FALSE),0))),0)),0)</f>
        <v>0</v>
      </c>
      <c r="M220" t="n">
        <f>IF(9&lt;=Paramètres!$B$9,MAX(0,IFERROR(N(IF(ISNUMBER(Charges!N220),MAX(0,Charges!N220),IFERROR(VLOOKUP(Charges!N220,Paramètres!$A$15:$B$18,2,FALSE),0))),0)),0)</f>
        <v>0</v>
      </c>
      <c r="N220" t="n">
        <f>IF(10&lt;=Paramètres!$B$9,MAX(0,IFERROR(N(IF(ISNUMBER(Charges!O220),MAX(0,Charges!O220),IFERROR(VLOOKUP(Charges!O220,Paramètres!$A$15:$B$18,2,FALSE),0))),0)),0)</f>
        <v>0</v>
      </c>
      <c r="O220" t="n">
        <f>IF(11&lt;=Paramètres!$B$9,MAX(0,IFERROR(N(IF(ISNUMBER(Charges!P220),MAX(0,Charges!P220),IFERROR(VLOOKUP(Charges!P220,Paramètres!$A$15:$B$18,2,FALSE),0))),0)),0)</f>
        <v>0</v>
      </c>
      <c r="P220" t="n">
        <f>IF(12&lt;=Paramètres!$B$9,MAX(0,IFERROR(N(IF(ISNUMBER(Charges!Q220),MAX(0,Charges!Q220),IFERROR(VLOOKUP(Charges!Q220,Paramètres!$A$15:$B$18,2,FALSE),0))),0)),0)</f>
        <v>0</v>
      </c>
      <c r="Q220" t="n">
        <f>IF(13&lt;=Paramètres!$B$9,MAX(0,IFERROR(N(IF(ISNUMBER(Charges!R220),MAX(0,Charges!R220),IFERROR(VLOOKUP(Charges!R220,Paramètres!$A$15:$B$18,2,FALSE),0))),0)),0)</f>
        <v>0</v>
      </c>
      <c r="R220" t="n">
        <f>SUM(E220:Q220)</f>
        <v>0</v>
      </c>
      <c r="S220" t="n">
        <f>IF(IFERROR(VLOOKUP(A220,'Projets'!$A$8:$Z$67,7,FALSE),"")="Engager",1,0)</f>
        <v>0</v>
      </c>
      <c r="T220" t="n">
        <f>IF(OR(Charges!F220="",AND(ISNUMBER(Charges!F220),Charges!F220&gt;=0),Charges!F220="S",Charges!F220="M",Charges!F220="L",Charges!F220="XL"),0,1)+IF(OR(Charges!G220="",AND(ISNUMBER(Charges!G220),Charges!G220&gt;=0),Charges!G220="S",Charges!G220="M",Charges!G220="L",Charges!G220="XL"),0,1)+IF(OR(Charges!H220="",AND(ISNUMBER(Charges!H220),Charges!H220&gt;=0),Charges!H220="S",Charges!H220="M",Charges!H220="L",Charges!H220="XL"),0,1)+IF(OR(Charges!I220="",AND(ISNUMBER(Charges!I220),Charges!I220&gt;=0),Charges!I220="S",Charges!I220="M",Charges!I220="L",Charges!I220="XL"),0,1)+IF(OR(Charges!J220="",AND(ISNUMBER(Charges!J220),Charges!J220&gt;=0),Charges!J220="S",Charges!J220="M",Charges!J220="L",Charges!J220="XL"),0,1)+IF(OR(Charges!K220="",AND(ISNUMBER(Charges!K220),Charges!K220&gt;=0),Charges!K220="S",Charges!K220="M",Charges!K220="L",Charges!K220="XL"),0,1)+IF(OR(Charges!L220="",AND(ISNUMBER(Charges!L220),Charges!L220&gt;=0),Charges!L220="S",Charges!L220="M",Charges!L220="L",Charges!L220="XL"),0,1)+IF(OR(Charges!M220="",AND(ISNUMBER(Charges!M220),Charges!M220&gt;=0),Charges!M220="S",Charges!M220="M",Charges!M220="L",Charges!M220="XL"),0,1)+IF(OR(Charges!N220="",AND(ISNUMBER(Charges!N220),Charges!N220&gt;=0),Charges!N220="S",Charges!N220="M",Charges!N220="L",Charges!N220="XL"),0,1)+IF(OR(Charges!O220="",AND(ISNUMBER(Charges!O220),Charges!O220&gt;=0),Charges!O220="S",Charges!O220="M",Charges!O220="L",Charges!O220="XL"),0,1)+IF(OR(Charges!P220="",AND(ISNUMBER(Charges!P220),Charges!P220&gt;=0),Charges!P220="S",Charges!P220="M",Charges!P220="L",Charges!P220="XL"),0,1)+IF(OR(Charges!Q220="",AND(ISNUMBER(Charges!Q220),Charges!Q220&gt;=0),Charges!Q220="S",Charges!Q220="M",Charges!Q220="L",Charges!Q220="XL"),0,1)+IF(OR(Charges!R220="",AND(ISNUMBER(Charges!R220),Charges!R220&gt;=0),Charges!R220="S",Charges!R220="M",Charges!R220="L",Charges!R220="XL"),0,1)</f>
        <v>0</v>
      </c>
      <c r="U220" t="n">
        <f>IF(AND(1&gt;Paramètres!$B$9,Charges!F220&lt;&gt;"",Charges!F220&lt;&gt;0),1,0)+IF(AND(2&gt;Paramètres!$B$9,Charges!G220&lt;&gt;"",Charges!G220&lt;&gt;0),1,0)+IF(AND(3&gt;Paramètres!$B$9,Charges!H220&lt;&gt;"",Charges!H220&lt;&gt;0),1,0)+IF(AND(4&gt;Paramètres!$B$9,Charges!I220&lt;&gt;"",Charges!I220&lt;&gt;0),1,0)+IF(AND(5&gt;Paramètres!$B$9,Charges!J220&lt;&gt;"",Charges!J220&lt;&gt;0),1,0)+IF(AND(6&gt;Paramètres!$B$9,Charges!K220&lt;&gt;"",Charges!K220&lt;&gt;0),1,0)+IF(AND(7&gt;Paramètres!$B$9,Charges!L220&lt;&gt;"",Charges!L220&lt;&gt;0),1,0)+IF(AND(8&gt;Paramètres!$B$9,Charges!M220&lt;&gt;"",Charges!M220&lt;&gt;0),1,0)+IF(AND(9&gt;Paramètres!$B$9,Charges!N220&lt;&gt;"",Charges!N220&lt;&gt;0),1,0)+IF(AND(10&gt;Paramètres!$B$9,Charges!O220&lt;&gt;"",Charges!O220&lt;&gt;0),1,0)+IF(AND(11&gt;Paramètres!$B$9,Charges!P220&lt;&gt;"",Charges!P220&lt;&gt;0),1,0)+IF(AND(12&gt;Paramètres!$B$9,Charges!Q220&lt;&gt;"",Charges!Q220&lt;&gt;0),1,0)+IF(AND(13&gt;Paramètres!$B$9,Charges!R220&lt;&gt;"",Charges!R220&lt;&gt;0),1,0)</f>
        <v>0</v>
      </c>
      <c r="V220" t="n">
        <f>IF(IFERROR(VLOOKUP(A220,'Projets'!$A$8:$Z$67,5,FALSE),"")="Engager",1,0)</f>
        <v>0</v>
      </c>
      <c r="W220" t="n">
        <f>IF(IFERROR(VLOOKUP(A220,'Projets'!$A$8:$Z$67,6,FALSE),"")="Engager",1,0)</f>
        <v>0</v>
      </c>
      <c r="X220" t="n">
        <f>E220*S220</f>
        <v>0</v>
      </c>
      <c r="Y220" t="n">
        <f>F220*S220</f>
        <v>0</v>
      </c>
      <c r="Z220" t="n">
        <f>G220*S220</f>
        <v>0</v>
      </c>
      <c r="AA220" t="n">
        <f>H220*S220</f>
        <v>0</v>
      </c>
      <c r="AB220" t="n">
        <f>I220*S220</f>
        <v>0</v>
      </c>
      <c r="AC220" t="n">
        <f>J220*S220</f>
        <v>0</v>
      </c>
      <c r="AD220" t="n">
        <f>K220*S220</f>
        <v>0</v>
      </c>
      <c r="AE220" t="n">
        <f>L220*S220</f>
        <v>0</v>
      </c>
      <c r="AF220" t="n">
        <f>M220*S220</f>
        <v>0</v>
      </c>
      <c r="AG220" t="n">
        <f>N220*S220</f>
        <v>0</v>
      </c>
      <c r="AH220" t="n">
        <f>O220*S220</f>
        <v>0</v>
      </c>
      <c r="AI220" t="n">
        <f>P220*S220</f>
        <v>0</v>
      </c>
      <c r="AJ220" t="n">
        <f>Q220*S220</f>
        <v>0</v>
      </c>
      <c r="AK220" t="n">
        <f>E220*V220</f>
        <v>0</v>
      </c>
      <c r="AL220" t="n">
        <f>F220*V220</f>
        <v>0</v>
      </c>
      <c r="AM220" t="n">
        <f>G220*V220</f>
        <v>0</v>
      </c>
      <c r="AN220" t="n">
        <f>H220*V220</f>
        <v>0</v>
      </c>
      <c r="AO220" t="n">
        <f>I220*V220</f>
        <v>0</v>
      </c>
      <c r="AP220" t="n">
        <f>J220*V220</f>
        <v>0</v>
      </c>
      <c r="AQ220" t="n">
        <f>K220*V220</f>
        <v>0</v>
      </c>
      <c r="AR220" t="n">
        <f>L220*V220</f>
        <v>0</v>
      </c>
      <c r="AS220" t="n">
        <f>M220*V220</f>
        <v>0</v>
      </c>
      <c r="AT220" t="n">
        <f>N220*V220</f>
        <v>0</v>
      </c>
      <c r="AU220" t="n">
        <f>O220*V220</f>
        <v>0</v>
      </c>
      <c r="AV220" t="n">
        <f>P220*V220</f>
        <v>0</v>
      </c>
      <c r="AW220" t="n">
        <f>Q220*V220</f>
        <v>0</v>
      </c>
      <c r="AX220" t="n">
        <f>E220*W220</f>
        <v>0</v>
      </c>
      <c r="AY220" t="n">
        <f>F220*W220</f>
        <v>0</v>
      </c>
      <c r="AZ220" t="n">
        <f>G220*W220</f>
        <v>0</v>
      </c>
      <c r="BA220" t="n">
        <f>H220*W220</f>
        <v>0</v>
      </c>
      <c r="BB220" t="n">
        <f>I220*W220</f>
        <v>0</v>
      </c>
      <c r="BC220" t="n">
        <f>J220*W220</f>
        <v>0</v>
      </c>
      <c r="BD220" t="n">
        <f>K220*W220</f>
        <v>0</v>
      </c>
      <c r="BE220" t="n">
        <f>L220*W220</f>
        <v>0</v>
      </c>
      <c r="BF220" t="n">
        <f>M220*W220</f>
        <v>0</v>
      </c>
      <c r="BG220" t="n">
        <f>N220*W220</f>
        <v>0</v>
      </c>
      <c r="BH220" t="n">
        <f>O220*W220</f>
        <v>0</v>
      </c>
      <c r="BI220" t="n">
        <f>P220*W220</f>
        <v>0</v>
      </c>
      <c r="BJ220" t="n">
        <f>Q220*W220</f>
        <v>0</v>
      </c>
    </row>
    <row r="221">
      <c r="A221" t="n">
        <f>Charges!A221</f>
        <v>0</v>
      </c>
      <c r="B221" t="n">
        <f>Charges!C221</f>
        <v>0</v>
      </c>
      <c r="C221" t="str">
        <f>Charges!D221</f>
        <v/>
      </c>
      <c r="E221" t="n">
        <f>IF(1&lt;=Paramètres!$B$9,MAX(0,IFERROR(N(IF(ISNUMBER(Charges!F221),MAX(0,Charges!F221),IFERROR(VLOOKUP(Charges!F221,Paramètres!$A$15:$B$18,2,FALSE),0))),0)),0)</f>
        <v>0</v>
      </c>
      <c r="F221" t="n">
        <f>IF(2&lt;=Paramètres!$B$9,MAX(0,IFERROR(N(IF(ISNUMBER(Charges!G221),MAX(0,Charges!G221),IFERROR(VLOOKUP(Charges!G221,Paramètres!$A$15:$B$18,2,FALSE),0))),0)),0)</f>
        <v>0</v>
      </c>
      <c r="G221" t="n">
        <f>IF(3&lt;=Paramètres!$B$9,MAX(0,IFERROR(N(IF(ISNUMBER(Charges!H221),MAX(0,Charges!H221),IFERROR(VLOOKUP(Charges!H221,Paramètres!$A$15:$B$18,2,FALSE),0))),0)),0)</f>
        <v>0</v>
      </c>
      <c r="H221" t="n">
        <f>IF(4&lt;=Paramètres!$B$9,MAX(0,IFERROR(N(IF(ISNUMBER(Charges!I221),MAX(0,Charges!I221),IFERROR(VLOOKUP(Charges!I221,Paramètres!$A$15:$B$18,2,FALSE),0))),0)),0)</f>
        <v>0</v>
      </c>
      <c r="I221" t="n">
        <f>IF(5&lt;=Paramètres!$B$9,MAX(0,IFERROR(N(IF(ISNUMBER(Charges!J221),MAX(0,Charges!J221),IFERROR(VLOOKUP(Charges!J221,Paramètres!$A$15:$B$18,2,FALSE),0))),0)),0)</f>
        <v>0</v>
      </c>
      <c r="J221" t="n">
        <f>IF(6&lt;=Paramètres!$B$9,MAX(0,IFERROR(N(IF(ISNUMBER(Charges!K221),MAX(0,Charges!K221),IFERROR(VLOOKUP(Charges!K221,Paramètres!$A$15:$B$18,2,FALSE),0))),0)),0)</f>
        <v>0</v>
      </c>
      <c r="K221" t="n">
        <f>IF(7&lt;=Paramètres!$B$9,MAX(0,IFERROR(N(IF(ISNUMBER(Charges!L221),MAX(0,Charges!L221),IFERROR(VLOOKUP(Charges!L221,Paramètres!$A$15:$B$18,2,FALSE),0))),0)),0)</f>
        <v>0</v>
      </c>
      <c r="L221" t="n">
        <f>IF(8&lt;=Paramètres!$B$9,MAX(0,IFERROR(N(IF(ISNUMBER(Charges!M221),MAX(0,Charges!M221),IFERROR(VLOOKUP(Charges!M221,Paramètres!$A$15:$B$18,2,FALSE),0))),0)),0)</f>
        <v>0</v>
      </c>
      <c r="M221" t="n">
        <f>IF(9&lt;=Paramètres!$B$9,MAX(0,IFERROR(N(IF(ISNUMBER(Charges!N221),MAX(0,Charges!N221),IFERROR(VLOOKUP(Charges!N221,Paramètres!$A$15:$B$18,2,FALSE),0))),0)),0)</f>
        <v>0</v>
      </c>
      <c r="N221" t="n">
        <f>IF(10&lt;=Paramètres!$B$9,MAX(0,IFERROR(N(IF(ISNUMBER(Charges!O221),MAX(0,Charges!O221),IFERROR(VLOOKUP(Charges!O221,Paramètres!$A$15:$B$18,2,FALSE),0))),0)),0)</f>
        <v>0</v>
      </c>
      <c r="O221" t="n">
        <f>IF(11&lt;=Paramètres!$B$9,MAX(0,IFERROR(N(IF(ISNUMBER(Charges!P221),MAX(0,Charges!P221),IFERROR(VLOOKUP(Charges!P221,Paramètres!$A$15:$B$18,2,FALSE),0))),0)),0)</f>
        <v>0</v>
      </c>
      <c r="P221" t="n">
        <f>IF(12&lt;=Paramètres!$B$9,MAX(0,IFERROR(N(IF(ISNUMBER(Charges!Q221),MAX(0,Charges!Q221),IFERROR(VLOOKUP(Charges!Q221,Paramètres!$A$15:$B$18,2,FALSE),0))),0)),0)</f>
        <v>0</v>
      </c>
      <c r="Q221" t="n">
        <f>IF(13&lt;=Paramètres!$B$9,MAX(0,IFERROR(N(IF(ISNUMBER(Charges!R221),MAX(0,Charges!R221),IFERROR(VLOOKUP(Charges!R221,Paramètres!$A$15:$B$18,2,FALSE),0))),0)),0)</f>
        <v>0</v>
      </c>
      <c r="R221" t="n">
        <f>SUM(E221:Q221)</f>
        <v>0</v>
      </c>
      <c r="S221" t="n">
        <f>IF(IFERROR(VLOOKUP(A221,'Projets'!$A$8:$Z$67,7,FALSE),"")="Engager",1,0)</f>
        <v>0</v>
      </c>
      <c r="T221" t="n">
        <f>IF(OR(Charges!F221="",AND(ISNUMBER(Charges!F221),Charges!F221&gt;=0),Charges!F221="S",Charges!F221="M",Charges!F221="L",Charges!F221="XL"),0,1)+IF(OR(Charges!G221="",AND(ISNUMBER(Charges!G221),Charges!G221&gt;=0),Charges!G221="S",Charges!G221="M",Charges!G221="L",Charges!G221="XL"),0,1)+IF(OR(Charges!H221="",AND(ISNUMBER(Charges!H221),Charges!H221&gt;=0),Charges!H221="S",Charges!H221="M",Charges!H221="L",Charges!H221="XL"),0,1)+IF(OR(Charges!I221="",AND(ISNUMBER(Charges!I221),Charges!I221&gt;=0),Charges!I221="S",Charges!I221="M",Charges!I221="L",Charges!I221="XL"),0,1)+IF(OR(Charges!J221="",AND(ISNUMBER(Charges!J221),Charges!J221&gt;=0),Charges!J221="S",Charges!J221="M",Charges!J221="L",Charges!J221="XL"),0,1)+IF(OR(Charges!K221="",AND(ISNUMBER(Charges!K221),Charges!K221&gt;=0),Charges!K221="S",Charges!K221="M",Charges!K221="L",Charges!K221="XL"),0,1)+IF(OR(Charges!L221="",AND(ISNUMBER(Charges!L221),Charges!L221&gt;=0),Charges!L221="S",Charges!L221="M",Charges!L221="L",Charges!L221="XL"),0,1)+IF(OR(Charges!M221="",AND(ISNUMBER(Charges!M221),Charges!M221&gt;=0),Charges!M221="S",Charges!M221="M",Charges!M221="L",Charges!M221="XL"),0,1)+IF(OR(Charges!N221="",AND(ISNUMBER(Charges!N221),Charges!N221&gt;=0),Charges!N221="S",Charges!N221="M",Charges!N221="L",Charges!N221="XL"),0,1)+IF(OR(Charges!O221="",AND(ISNUMBER(Charges!O221),Charges!O221&gt;=0),Charges!O221="S",Charges!O221="M",Charges!O221="L",Charges!O221="XL"),0,1)+IF(OR(Charges!P221="",AND(ISNUMBER(Charges!P221),Charges!P221&gt;=0),Charges!P221="S",Charges!P221="M",Charges!P221="L",Charges!P221="XL"),0,1)+IF(OR(Charges!Q221="",AND(ISNUMBER(Charges!Q221),Charges!Q221&gt;=0),Charges!Q221="S",Charges!Q221="M",Charges!Q221="L",Charges!Q221="XL"),0,1)+IF(OR(Charges!R221="",AND(ISNUMBER(Charges!R221),Charges!R221&gt;=0),Charges!R221="S",Charges!R221="M",Charges!R221="L",Charges!R221="XL"),0,1)</f>
        <v>0</v>
      </c>
      <c r="U221" t="n">
        <f>IF(AND(1&gt;Paramètres!$B$9,Charges!F221&lt;&gt;"",Charges!F221&lt;&gt;0),1,0)+IF(AND(2&gt;Paramètres!$B$9,Charges!G221&lt;&gt;"",Charges!G221&lt;&gt;0),1,0)+IF(AND(3&gt;Paramètres!$B$9,Charges!H221&lt;&gt;"",Charges!H221&lt;&gt;0),1,0)+IF(AND(4&gt;Paramètres!$B$9,Charges!I221&lt;&gt;"",Charges!I221&lt;&gt;0),1,0)+IF(AND(5&gt;Paramètres!$B$9,Charges!J221&lt;&gt;"",Charges!J221&lt;&gt;0),1,0)+IF(AND(6&gt;Paramètres!$B$9,Charges!K221&lt;&gt;"",Charges!K221&lt;&gt;0),1,0)+IF(AND(7&gt;Paramètres!$B$9,Charges!L221&lt;&gt;"",Charges!L221&lt;&gt;0),1,0)+IF(AND(8&gt;Paramètres!$B$9,Charges!M221&lt;&gt;"",Charges!M221&lt;&gt;0),1,0)+IF(AND(9&gt;Paramètres!$B$9,Charges!N221&lt;&gt;"",Charges!N221&lt;&gt;0),1,0)+IF(AND(10&gt;Paramètres!$B$9,Charges!O221&lt;&gt;"",Charges!O221&lt;&gt;0),1,0)+IF(AND(11&gt;Paramètres!$B$9,Charges!P221&lt;&gt;"",Charges!P221&lt;&gt;0),1,0)+IF(AND(12&gt;Paramètres!$B$9,Charges!Q221&lt;&gt;"",Charges!Q221&lt;&gt;0),1,0)+IF(AND(13&gt;Paramètres!$B$9,Charges!R221&lt;&gt;"",Charges!R221&lt;&gt;0),1,0)</f>
        <v>0</v>
      </c>
      <c r="V221" t="n">
        <f>IF(IFERROR(VLOOKUP(A221,'Projets'!$A$8:$Z$67,5,FALSE),"")="Engager",1,0)</f>
        <v>0</v>
      </c>
      <c r="W221" t="n">
        <f>IF(IFERROR(VLOOKUP(A221,'Projets'!$A$8:$Z$67,6,FALSE),"")="Engager",1,0)</f>
        <v>0</v>
      </c>
      <c r="X221" t="n">
        <f>E221*S221</f>
        <v>0</v>
      </c>
      <c r="Y221" t="n">
        <f>F221*S221</f>
        <v>0</v>
      </c>
      <c r="Z221" t="n">
        <f>G221*S221</f>
        <v>0</v>
      </c>
      <c r="AA221" t="n">
        <f>H221*S221</f>
        <v>0</v>
      </c>
      <c r="AB221" t="n">
        <f>I221*S221</f>
        <v>0</v>
      </c>
      <c r="AC221" t="n">
        <f>J221*S221</f>
        <v>0</v>
      </c>
      <c r="AD221" t="n">
        <f>K221*S221</f>
        <v>0</v>
      </c>
      <c r="AE221" t="n">
        <f>L221*S221</f>
        <v>0</v>
      </c>
      <c r="AF221" t="n">
        <f>M221*S221</f>
        <v>0</v>
      </c>
      <c r="AG221" t="n">
        <f>N221*S221</f>
        <v>0</v>
      </c>
      <c r="AH221" t="n">
        <f>O221*S221</f>
        <v>0</v>
      </c>
      <c r="AI221" t="n">
        <f>P221*S221</f>
        <v>0</v>
      </c>
      <c r="AJ221" t="n">
        <f>Q221*S221</f>
        <v>0</v>
      </c>
      <c r="AK221" t="n">
        <f>E221*V221</f>
        <v>0</v>
      </c>
      <c r="AL221" t="n">
        <f>F221*V221</f>
        <v>0</v>
      </c>
      <c r="AM221" t="n">
        <f>G221*V221</f>
        <v>0</v>
      </c>
      <c r="AN221" t="n">
        <f>H221*V221</f>
        <v>0</v>
      </c>
      <c r="AO221" t="n">
        <f>I221*V221</f>
        <v>0</v>
      </c>
      <c r="AP221" t="n">
        <f>J221*V221</f>
        <v>0</v>
      </c>
      <c r="AQ221" t="n">
        <f>K221*V221</f>
        <v>0</v>
      </c>
      <c r="AR221" t="n">
        <f>L221*V221</f>
        <v>0</v>
      </c>
      <c r="AS221" t="n">
        <f>M221*V221</f>
        <v>0</v>
      </c>
      <c r="AT221" t="n">
        <f>N221*V221</f>
        <v>0</v>
      </c>
      <c r="AU221" t="n">
        <f>O221*V221</f>
        <v>0</v>
      </c>
      <c r="AV221" t="n">
        <f>P221*V221</f>
        <v>0</v>
      </c>
      <c r="AW221" t="n">
        <f>Q221*V221</f>
        <v>0</v>
      </c>
      <c r="AX221" t="n">
        <f>E221*W221</f>
        <v>0</v>
      </c>
      <c r="AY221" t="n">
        <f>F221*W221</f>
        <v>0</v>
      </c>
      <c r="AZ221" t="n">
        <f>G221*W221</f>
        <v>0</v>
      </c>
      <c r="BA221" t="n">
        <f>H221*W221</f>
        <v>0</v>
      </c>
      <c r="BB221" t="n">
        <f>I221*W221</f>
        <v>0</v>
      </c>
      <c r="BC221" t="n">
        <f>J221*W221</f>
        <v>0</v>
      </c>
      <c r="BD221" t="n">
        <f>K221*W221</f>
        <v>0</v>
      </c>
      <c r="BE221" t="n">
        <f>L221*W221</f>
        <v>0</v>
      </c>
      <c r="BF221" t="n">
        <f>M221*W221</f>
        <v>0</v>
      </c>
      <c r="BG221" t="n">
        <f>N221*W221</f>
        <v>0</v>
      </c>
      <c r="BH221" t="n">
        <f>O221*W221</f>
        <v>0</v>
      </c>
      <c r="BI221" t="n">
        <f>P221*W221</f>
        <v>0</v>
      </c>
      <c r="BJ221" t="n">
        <f>Q221*W221</f>
        <v>0</v>
      </c>
    </row>
    <row r="222">
      <c r="A222" t="n">
        <f>Charges!A222</f>
        <v>0</v>
      </c>
      <c r="B222" t="n">
        <f>Charges!C222</f>
        <v>0</v>
      </c>
      <c r="C222" t="str">
        <f>Charges!D222</f>
        <v/>
      </c>
      <c r="E222" t="n">
        <f>IF(1&lt;=Paramètres!$B$9,MAX(0,IFERROR(N(IF(ISNUMBER(Charges!F222),MAX(0,Charges!F222),IFERROR(VLOOKUP(Charges!F222,Paramètres!$A$15:$B$18,2,FALSE),0))),0)),0)</f>
        <v>0</v>
      </c>
      <c r="F222" t="n">
        <f>IF(2&lt;=Paramètres!$B$9,MAX(0,IFERROR(N(IF(ISNUMBER(Charges!G222),MAX(0,Charges!G222),IFERROR(VLOOKUP(Charges!G222,Paramètres!$A$15:$B$18,2,FALSE),0))),0)),0)</f>
        <v>0</v>
      </c>
      <c r="G222" t="n">
        <f>IF(3&lt;=Paramètres!$B$9,MAX(0,IFERROR(N(IF(ISNUMBER(Charges!H222),MAX(0,Charges!H222),IFERROR(VLOOKUP(Charges!H222,Paramètres!$A$15:$B$18,2,FALSE),0))),0)),0)</f>
        <v>0</v>
      </c>
      <c r="H222" t="n">
        <f>IF(4&lt;=Paramètres!$B$9,MAX(0,IFERROR(N(IF(ISNUMBER(Charges!I222),MAX(0,Charges!I222),IFERROR(VLOOKUP(Charges!I222,Paramètres!$A$15:$B$18,2,FALSE),0))),0)),0)</f>
        <v>0</v>
      </c>
      <c r="I222" t="n">
        <f>IF(5&lt;=Paramètres!$B$9,MAX(0,IFERROR(N(IF(ISNUMBER(Charges!J222),MAX(0,Charges!J222),IFERROR(VLOOKUP(Charges!J222,Paramètres!$A$15:$B$18,2,FALSE),0))),0)),0)</f>
        <v>0</v>
      </c>
      <c r="J222" t="n">
        <f>IF(6&lt;=Paramètres!$B$9,MAX(0,IFERROR(N(IF(ISNUMBER(Charges!K222),MAX(0,Charges!K222),IFERROR(VLOOKUP(Charges!K222,Paramètres!$A$15:$B$18,2,FALSE),0))),0)),0)</f>
        <v>0</v>
      </c>
      <c r="K222" t="n">
        <f>IF(7&lt;=Paramètres!$B$9,MAX(0,IFERROR(N(IF(ISNUMBER(Charges!L222),MAX(0,Charges!L222),IFERROR(VLOOKUP(Charges!L222,Paramètres!$A$15:$B$18,2,FALSE),0))),0)),0)</f>
        <v>0</v>
      </c>
      <c r="L222" t="n">
        <f>IF(8&lt;=Paramètres!$B$9,MAX(0,IFERROR(N(IF(ISNUMBER(Charges!M222),MAX(0,Charges!M222),IFERROR(VLOOKUP(Charges!M222,Paramètres!$A$15:$B$18,2,FALSE),0))),0)),0)</f>
        <v>0</v>
      </c>
      <c r="M222" t="n">
        <f>IF(9&lt;=Paramètres!$B$9,MAX(0,IFERROR(N(IF(ISNUMBER(Charges!N222),MAX(0,Charges!N222),IFERROR(VLOOKUP(Charges!N222,Paramètres!$A$15:$B$18,2,FALSE),0))),0)),0)</f>
        <v>0</v>
      </c>
      <c r="N222" t="n">
        <f>IF(10&lt;=Paramètres!$B$9,MAX(0,IFERROR(N(IF(ISNUMBER(Charges!O222),MAX(0,Charges!O222),IFERROR(VLOOKUP(Charges!O222,Paramètres!$A$15:$B$18,2,FALSE),0))),0)),0)</f>
        <v>0</v>
      </c>
      <c r="O222" t="n">
        <f>IF(11&lt;=Paramètres!$B$9,MAX(0,IFERROR(N(IF(ISNUMBER(Charges!P222),MAX(0,Charges!P222),IFERROR(VLOOKUP(Charges!P222,Paramètres!$A$15:$B$18,2,FALSE),0))),0)),0)</f>
        <v>0</v>
      </c>
      <c r="P222" t="n">
        <f>IF(12&lt;=Paramètres!$B$9,MAX(0,IFERROR(N(IF(ISNUMBER(Charges!Q222),MAX(0,Charges!Q222),IFERROR(VLOOKUP(Charges!Q222,Paramètres!$A$15:$B$18,2,FALSE),0))),0)),0)</f>
        <v>0</v>
      </c>
      <c r="Q222" t="n">
        <f>IF(13&lt;=Paramètres!$B$9,MAX(0,IFERROR(N(IF(ISNUMBER(Charges!R222),MAX(0,Charges!R222),IFERROR(VLOOKUP(Charges!R222,Paramètres!$A$15:$B$18,2,FALSE),0))),0)),0)</f>
        <v>0</v>
      </c>
      <c r="R222" t="n">
        <f>SUM(E222:Q222)</f>
        <v>0</v>
      </c>
      <c r="S222" t="n">
        <f>IF(IFERROR(VLOOKUP(A222,'Projets'!$A$8:$Z$67,7,FALSE),"")="Engager",1,0)</f>
        <v>0</v>
      </c>
      <c r="T222" t="n">
        <f>IF(OR(Charges!F222="",AND(ISNUMBER(Charges!F222),Charges!F222&gt;=0),Charges!F222="S",Charges!F222="M",Charges!F222="L",Charges!F222="XL"),0,1)+IF(OR(Charges!G222="",AND(ISNUMBER(Charges!G222),Charges!G222&gt;=0),Charges!G222="S",Charges!G222="M",Charges!G222="L",Charges!G222="XL"),0,1)+IF(OR(Charges!H222="",AND(ISNUMBER(Charges!H222),Charges!H222&gt;=0),Charges!H222="S",Charges!H222="M",Charges!H222="L",Charges!H222="XL"),0,1)+IF(OR(Charges!I222="",AND(ISNUMBER(Charges!I222),Charges!I222&gt;=0),Charges!I222="S",Charges!I222="M",Charges!I222="L",Charges!I222="XL"),0,1)+IF(OR(Charges!J222="",AND(ISNUMBER(Charges!J222),Charges!J222&gt;=0),Charges!J222="S",Charges!J222="M",Charges!J222="L",Charges!J222="XL"),0,1)+IF(OR(Charges!K222="",AND(ISNUMBER(Charges!K222),Charges!K222&gt;=0),Charges!K222="S",Charges!K222="M",Charges!K222="L",Charges!K222="XL"),0,1)+IF(OR(Charges!L222="",AND(ISNUMBER(Charges!L222),Charges!L222&gt;=0),Charges!L222="S",Charges!L222="M",Charges!L222="L",Charges!L222="XL"),0,1)+IF(OR(Charges!M222="",AND(ISNUMBER(Charges!M222),Charges!M222&gt;=0),Charges!M222="S",Charges!M222="M",Charges!M222="L",Charges!M222="XL"),0,1)+IF(OR(Charges!N222="",AND(ISNUMBER(Charges!N222),Charges!N222&gt;=0),Charges!N222="S",Charges!N222="M",Charges!N222="L",Charges!N222="XL"),0,1)+IF(OR(Charges!O222="",AND(ISNUMBER(Charges!O222),Charges!O222&gt;=0),Charges!O222="S",Charges!O222="M",Charges!O222="L",Charges!O222="XL"),0,1)+IF(OR(Charges!P222="",AND(ISNUMBER(Charges!P222),Charges!P222&gt;=0),Charges!P222="S",Charges!P222="M",Charges!P222="L",Charges!P222="XL"),0,1)+IF(OR(Charges!Q222="",AND(ISNUMBER(Charges!Q222),Charges!Q222&gt;=0),Charges!Q222="S",Charges!Q222="M",Charges!Q222="L",Charges!Q222="XL"),0,1)+IF(OR(Charges!R222="",AND(ISNUMBER(Charges!R222),Charges!R222&gt;=0),Charges!R222="S",Charges!R222="M",Charges!R222="L",Charges!R222="XL"),0,1)</f>
        <v>0</v>
      </c>
      <c r="U222" t="n">
        <f>IF(AND(1&gt;Paramètres!$B$9,Charges!F222&lt;&gt;"",Charges!F222&lt;&gt;0),1,0)+IF(AND(2&gt;Paramètres!$B$9,Charges!G222&lt;&gt;"",Charges!G222&lt;&gt;0),1,0)+IF(AND(3&gt;Paramètres!$B$9,Charges!H222&lt;&gt;"",Charges!H222&lt;&gt;0),1,0)+IF(AND(4&gt;Paramètres!$B$9,Charges!I222&lt;&gt;"",Charges!I222&lt;&gt;0),1,0)+IF(AND(5&gt;Paramètres!$B$9,Charges!J222&lt;&gt;"",Charges!J222&lt;&gt;0),1,0)+IF(AND(6&gt;Paramètres!$B$9,Charges!K222&lt;&gt;"",Charges!K222&lt;&gt;0),1,0)+IF(AND(7&gt;Paramètres!$B$9,Charges!L222&lt;&gt;"",Charges!L222&lt;&gt;0),1,0)+IF(AND(8&gt;Paramètres!$B$9,Charges!M222&lt;&gt;"",Charges!M222&lt;&gt;0),1,0)+IF(AND(9&gt;Paramètres!$B$9,Charges!N222&lt;&gt;"",Charges!N222&lt;&gt;0),1,0)+IF(AND(10&gt;Paramètres!$B$9,Charges!O222&lt;&gt;"",Charges!O222&lt;&gt;0),1,0)+IF(AND(11&gt;Paramètres!$B$9,Charges!P222&lt;&gt;"",Charges!P222&lt;&gt;0),1,0)+IF(AND(12&gt;Paramètres!$B$9,Charges!Q222&lt;&gt;"",Charges!Q222&lt;&gt;0),1,0)+IF(AND(13&gt;Paramètres!$B$9,Charges!R222&lt;&gt;"",Charges!R222&lt;&gt;0),1,0)</f>
        <v>0</v>
      </c>
      <c r="V222" t="n">
        <f>IF(IFERROR(VLOOKUP(A222,'Projets'!$A$8:$Z$67,5,FALSE),"")="Engager",1,0)</f>
        <v>0</v>
      </c>
      <c r="W222" t="n">
        <f>IF(IFERROR(VLOOKUP(A222,'Projets'!$A$8:$Z$67,6,FALSE),"")="Engager",1,0)</f>
        <v>0</v>
      </c>
      <c r="X222" t="n">
        <f>E222*S222</f>
        <v>0</v>
      </c>
      <c r="Y222" t="n">
        <f>F222*S222</f>
        <v>0</v>
      </c>
      <c r="Z222" t="n">
        <f>G222*S222</f>
        <v>0</v>
      </c>
      <c r="AA222" t="n">
        <f>H222*S222</f>
        <v>0</v>
      </c>
      <c r="AB222" t="n">
        <f>I222*S222</f>
        <v>0</v>
      </c>
      <c r="AC222" t="n">
        <f>J222*S222</f>
        <v>0</v>
      </c>
      <c r="AD222" t="n">
        <f>K222*S222</f>
        <v>0</v>
      </c>
      <c r="AE222" t="n">
        <f>L222*S222</f>
        <v>0</v>
      </c>
      <c r="AF222" t="n">
        <f>M222*S222</f>
        <v>0</v>
      </c>
      <c r="AG222" t="n">
        <f>N222*S222</f>
        <v>0</v>
      </c>
      <c r="AH222" t="n">
        <f>O222*S222</f>
        <v>0</v>
      </c>
      <c r="AI222" t="n">
        <f>P222*S222</f>
        <v>0</v>
      </c>
      <c r="AJ222" t="n">
        <f>Q222*S222</f>
        <v>0</v>
      </c>
      <c r="AK222" t="n">
        <f>E222*V222</f>
        <v>0</v>
      </c>
      <c r="AL222" t="n">
        <f>F222*V222</f>
        <v>0</v>
      </c>
      <c r="AM222" t="n">
        <f>G222*V222</f>
        <v>0</v>
      </c>
      <c r="AN222" t="n">
        <f>H222*V222</f>
        <v>0</v>
      </c>
      <c r="AO222" t="n">
        <f>I222*V222</f>
        <v>0</v>
      </c>
      <c r="AP222" t="n">
        <f>J222*V222</f>
        <v>0</v>
      </c>
      <c r="AQ222" t="n">
        <f>K222*V222</f>
        <v>0</v>
      </c>
      <c r="AR222" t="n">
        <f>L222*V222</f>
        <v>0</v>
      </c>
      <c r="AS222" t="n">
        <f>M222*V222</f>
        <v>0</v>
      </c>
      <c r="AT222" t="n">
        <f>N222*V222</f>
        <v>0</v>
      </c>
      <c r="AU222" t="n">
        <f>O222*V222</f>
        <v>0</v>
      </c>
      <c r="AV222" t="n">
        <f>P222*V222</f>
        <v>0</v>
      </c>
      <c r="AW222" t="n">
        <f>Q222*V222</f>
        <v>0</v>
      </c>
      <c r="AX222" t="n">
        <f>E222*W222</f>
        <v>0</v>
      </c>
      <c r="AY222" t="n">
        <f>F222*W222</f>
        <v>0</v>
      </c>
      <c r="AZ222" t="n">
        <f>G222*W222</f>
        <v>0</v>
      </c>
      <c r="BA222" t="n">
        <f>H222*W222</f>
        <v>0</v>
      </c>
      <c r="BB222" t="n">
        <f>I222*W222</f>
        <v>0</v>
      </c>
      <c r="BC222" t="n">
        <f>J222*W222</f>
        <v>0</v>
      </c>
      <c r="BD222" t="n">
        <f>K222*W222</f>
        <v>0</v>
      </c>
      <c r="BE222" t="n">
        <f>L222*W222</f>
        <v>0</v>
      </c>
      <c r="BF222" t="n">
        <f>M222*W222</f>
        <v>0</v>
      </c>
      <c r="BG222" t="n">
        <f>N222*W222</f>
        <v>0</v>
      </c>
      <c r="BH222" t="n">
        <f>O222*W222</f>
        <v>0</v>
      </c>
      <c r="BI222" t="n">
        <f>P222*W222</f>
        <v>0</v>
      </c>
      <c r="BJ222" t="n">
        <f>Q222*W222</f>
        <v>0</v>
      </c>
    </row>
    <row r="223">
      <c r="A223" t="n">
        <f>Charges!A223</f>
        <v>0</v>
      </c>
      <c r="B223" t="n">
        <f>Charges!C223</f>
        <v>0</v>
      </c>
      <c r="C223" t="str">
        <f>Charges!D223</f>
        <v/>
      </c>
      <c r="E223" t="n">
        <f>IF(1&lt;=Paramètres!$B$9,MAX(0,IFERROR(N(IF(ISNUMBER(Charges!F223),MAX(0,Charges!F223),IFERROR(VLOOKUP(Charges!F223,Paramètres!$A$15:$B$18,2,FALSE),0))),0)),0)</f>
        <v>0</v>
      </c>
      <c r="F223" t="n">
        <f>IF(2&lt;=Paramètres!$B$9,MAX(0,IFERROR(N(IF(ISNUMBER(Charges!G223),MAX(0,Charges!G223),IFERROR(VLOOKUP(Charges!G223,Paramètres!$A$15:$B$18,2,FALSE),0))),0)),0)</f>
        <v>0</v>
      </c>
      <c r="G223" t="n">
        <f>IF(3&lt;=Paramètres!$B$9,MAX(0,IFERROR(N(IF(ISNUMBER(Charges!H223),MAX(0,Charges!H223),IFERROR(VLOOKUP(Charges!H223,Paramètres!$A$15:$B$18,2,FALSE),0))),0)),0)</f>
        <v>0</v>
      </c>
      <c r="H223" t="n">
        <f>IF(4&lt;=Paramètres!$B$9,MAX(0,IFERROR(N(IF(ISNUMBER(Charges!I223),MAX(0,Charges!I223),IFERROR(VLOOKUP(Charges!I223,Paramètres!$A$15:$B$18,2,FALSE),0))),0)),0)</f>
        <v>0</v>
      </c>
      <c r="I223" t="n">
        <f>IF(5&lt;=Paramètres!$B$9,MAX(0,IFERROR(N(IF(ISNUMBER(Charges!J223),MAX(0,Charges!J223),IFERROR(VLOOKUP(Charges!J223,Paramètres!$A$15:$B$18,2,FALSE),0))),0)),0)</f>
        <v>0</v>
      </c>
      <c r="J223" t="n">
        <f>IF(6&lt;=Paramètres!$B$9,MAX(0,IFERROR(N(IF(ISNUMBER(Charges!K223),MAX(0,Charges!K223),IFERROR(VLOOKUP(Charges!K223,Paramètres!$A$15:$B$18,2,FALSE),0))),0)),0)</f>
        <v>0</v>
      </c>
      <c r="K223" t="n">
        <f>IF(7&lt;=Paramètres!$B$9,MAX(0,IFERROR(N(IF(ISNUMBER(Charges!L223),MAX(0,Charges!L223),IFERROR(VLOOKUP(Charges!L223,Paramètres!$A$15:$B$18,2,FALSE),0))),0)),0)</f>
        <v>0</v>
      </c>
      <c r="L223" t="n">
        <f>IF(8&lt;=Paramètres!$B$9,MAX(0,IFERROR(N(IF(ISNUMBER(Charges!M223),MAX(0,Charges!M223),IFERROR(VLOOKUP(Charges!M223,Paramètres!$A$15:$B$18,2,FALSE),0))),0)),0)</f>
        <v>0</v>
      </c>
      <c r="M223" t="n">
        <f>IF(9&lt;=Paramètres!$B$9,MAX(0,IFERROR(N(IF(ISNUMBER(Charges!N223),MAX(0,Charges!N223),IFERROR(VLOOKUP(Charges!N223,Paramètres!$A$15:$B$18,2,FALSE),0))),0)),0)</f>
        <v>0</v>
      </c>
      <c r="N223" t="n">
        <f>IF(10&lt;=Paramètres!$B$9,MAX(0,IFERROR(N(IF(ISNUMBER(Charges!O223),MAX(0,Charges!O223),IFERROR(VLOOKUP(Charges!O223,Paramètres!$A$15:$B$18,2,FALSE),0))),0)),0)</f>
        <v>0</v>
      </c>
      <c r="O223" t="n">
        <f>IF(11&lt;=Paramètres!$B$9,MAX(0,IFERROR(N(IF(ISNUMBER(Charges!P223),MAX(0,Charges!P223),IFERROR(VLOOKUP(Charges!P223,Paramètres!$A$15:$B$18,2,FALSE),0))),0)),0)</f>
        <v>0</v>
      </c>
      <c r="P223" t="n">
        <f>IF(12&lt;=Paramètres!$B$9,MAX(0,IFERROR(N(IF(ISNUMBER(Charges!Q223),MAX(0,Charges!Q223),IFERROR(VLOOKUP(Charges!Q223,Paramètres!$A$15:$B$18,2,FALSE),0))),0)),0)</f>
        <v>0</v>
      </c>
      <c r="Q223" t="n">
        <f>IF(13&lt;=Paramètres!$B$9,MAX(0,IFERROR(N(IF(ISNUMBER(Charges!R223),MAX(0,Charges!R223),IFERROR(VLOOKUP(Charges!R223,Paramètres!$A$15:$B$18,2,FALSE),0))),0)),0)</f>
        <v>0</v>
      </c>
      <c r="R223" t="n">
        <f>SUM(E223:Q223)</f>
        <v>0</v>
      </c>
      <c r="S223" t="n">
        <f>IF(IFERROR(VLOOKUP(A223,'Projets'!$A$8:$Z$67,7,FALSE),"")="Engager",1,0)</f>
        <v>0</v>
      </c>
      <c r="T223" t="n">
        <f>IF(OR(Charges!F223="",AND(ISNUMBER(Charges!F223),Charges!F223&gt;=0),Charges!F223="S",Charges!F223="M",Charges!F223="L",Charges!F223="XL"),0,1)+IF(OR(Charges!G223="",AND(ISNUMBER(Charges!G223),Charges!G223&gt;=0),Charges!G223="S",Charges!G223="M",Charges!G223="L",Charges!G223="XL"),0,1)+IF(OR(Charges!H223="",AND(ISNUMBER(Charges!H223),Charges!H223&gt;=0),Charges!H223="S",Charges!H223="M",Charges!H223="L",Charges!H223="XL"),0,1)+IF(OR(Charges!I223="",AND(ISNUMBER(Charges!I223),Charges!I223&gt;=0),Charges!I223="S",Charges!I223="M",Charges!I223="L",Charges!I223="XL"),0,1)+IF(OR(Charges!J223="",AND(ISNUMBER(Charges!J223),Charges!J223&gt;=0),Charges!J223="S",Charges!J223="M",Charges!J223="L",Charges!J223="XL"),0,1)+IF(OR(Charges!K223="",AND(ISNUMBER(Charges!K223),Charges!K223&gt;=0),Charges!K223="S",Charges!K223="M",Charges!K223="L",Charges!K223="XL"),0,1)+IF(OR(Charges!L223="",AND(ISNUMBER(Charges!L223),Charges!L223&gt;=0),Charges!L223="S",Charges!L223="M",Charges!L223="L",Charges!L223="XL"),0,1)+IF(OR(Charges!M223="",AND(ISNUMBER(Charges!M223),Charges!M223&gt;=0),Charges!M223="S",Charges!M223="M",Charges!M223="L",Charges!M223="XL"),0,1)+IF(OR(Charges!N223="",AND(ISNUMBER(Charges!N223),Charges!N223&gt;=0),Charges!N223="S",Charges!N223="M",Charges!N223="L",Charges!N223="XL"),0,1)+IF(OR(Charges!O223="",AND(ISNUMBER(Charges!O223),Charges!O223&gt;=0),Charges!O223="S",Charges!O223="M",Charges!O223="L",Charges!O223="XL"),0,1)+IF(OR(Charges!P223="",AND(ISNUMBER(Charges!P223),Charges!P223&gt;=0),Charges!P223="S",Charges!P223="M",Charges!P223="L",Charges!P223="XL"),0,1)+IF(OR(Charges!Q223="",AND(ISNUMBER(Charges!Q223),Charges!Q223&gt;=0),Charges!Q223="S",Charges!Q223="M",Charges!Q223="L",Charges!Q223="XL"),0,1)+IF(OR(Charges!R223="",AND(ISNUMBER(Charges!R223),Charges!R223&gt;=0),Charges!R223="S",Charges!R223="M",Charges!R223="L",Charges!R223="XL"),0,1)</f>
        <v>0</v>
      </c>
      <c r="U223" t="n">
        <f>IF(AND(1&gt;Paramètres!$B$9,Charges!F223&lt;&gt;"",Charges!F223&lt;&gt;0),1,0)+IF(AND(2&gt;Paramètres!$B$9,Charges!G223&lt;&gt;"",Charges!G223&lt;&gt;0),1,0)+IF(AND(3&gt;Paramètres!$B$9,Charges!H223&lt;&gt;"",Charges!H223&lt;&gt;0),1,0)+IF(AND(4&gt;Paramètres!$B$9,Charges!I223&lt;&gt;"",Charges!I223&lt;&gt;0),1,0)+IF(AND(5&gt;Paramètres!$B$9,Charges!J223&lt;&gt;"",Charges!J223&lt;&gt;0),1,0)+IF(AND(6&gt;Paramètres!$B$9,Charges!K223&lt;&gt;"",Charges!K223&lt;&gt;0),1,0)+IF(AND(7&gt;Paramètres!$B$9,Charges!L223&lt;&gt;"",Charges!L223&lt;&gt;0),1,0)+IF(AND(8&gt;Paramètres!$B$9,Charges!M223&lt;&gt;"",Charges!M223&lt;&gt;0),1,0)+IF(AND(9&gt;Paramètres!$B$9,Charges!N223&lt;&gt;"",Charges!N223&lt;&gt;0),1,0)+IF(AND(10&gt;Paramètres!$B$9,Charges!O223&lt;&gt;"",Charges!O223&lt;&gt;0),1,0)+IF(AND(11&gt;Paramètres!$B$9,Charges!P223&lt;&gt;"",Charges!P223&lt;&gt;0),1,0)+IF(AND(12&gt;Paramètres!$B$9,Charges!Q223&lt;&gt;"",Charges!Q223&lt;&gt;0),1,0)+IF(AND(13&gt;Paramètres!$B$9,Charges!R223&lt;&gt;"",Charges!R223&lt;&gt;0),1,0)</f>
        <v>0</v>
      </c>
      <c r="V223" t="n">
        <f>IF(IFERROR(VLOOKUP(A223,'Projets'!$A$8:$Z$67,5,FALSE),"")="Engager",1,0)</f>
        <v>0</v>
      </c>
      <c r="W223" t="n">
        <f>IF(IFERROR(VLOOKUP(A223,'Projets'!$A$8:$Z$67,6,FALSE),"")="Engager",1,0)</f>
        <v>0</v>
      </c>
      <c r="X223" t="n">
        <f>E223*S223</f>
        <v>0</v>
      </c>
      <c r="Y223" t="n">
        <f>F223*S223</f>
        <v>0</v>
      </c>
      <c r="Z223" t="n">
        <f>G223*S223</f>
        <v>0</v>
      </c>
      <c r="AA223" t="n">
        <f>H223*S223</f>
        <v>0</v>
      </c>
      <c r="AB223" t="n">
        <f>I223*S223</f>
        <v>0</v>
      </c>
      <c r="AC223" t="n">
        <f>J223*S223</f>
        <v>0</v>
      </c>
      <c r="AD223" t="n">
        <f>K223*S223</f>
        <v>0</v>
      </c>
      <c r="AE223" t="n">
        <f>L223*S223</f>
        <v>0</v>
      </c>
      <c r="AF223" t="n">
        <f>M223*S223</f>
        <v>0</v>
      </c>
      <c r="AG223" t="n">
        <f>N223*S223</f>
        <v>0</v>
      </c>
      <c r="AH223" t="n">
        <f>O223*S223</f>
        <v>0</v>
      </c>
      <c r="AI223" t="n">
        <f>P223*S223</f>
        <v>0</v>
      </c>
      <c r="AJ223" t="n">
        <f>Q223*S223</f>
        <v>0</v>
      </c>
      <c r="AK223" t="n">
        <f>E223*V223</f>
        <v>0</v>
      </c>
      <c r="AL223" t="n">
        <f>F223*V223</f>
        <v>0</v>
      </c>
      <c r="AM223" t="n">
        <f>G223*V223</f>
        <v>0</v>
      </c>
      <c r="AN223" t="n">
        <f>H223*V223</f>
        <v>0</v>
      </c>
      <c r="AO223" t="n">
        <f>I223*V223</f>
        <v>0</v>
      </c>
      <c r="AP223" t="n">
        <f>J223*V223</f>
        <v>0</v>
      </c>
      <c r="AQ223" t="n">
        <f>K223*V223</f>
        <v>0</v>
      </c>
      <c r="AR223" t="n">
        <f>L223*V223</f>
        <v>0</v>
      </c>
      <c r="AS223" t="n">
        <f>M223*V223</f>
        <v>0</v>
      </c>
      <c r="AT223" t="n">
        <f>N223*V223</f>
        <v>0</v>
      </c>
      <c r="AU223" t="n">
        <f>O223*V223</f>
        <v>0</v>
      </c>
      <c r="AV223" t="n">
        <f>P223*V223</f>
        <v>0</v>
      </c>
      <c r="AW223" t="n">
        <f>Q223*V223</f>
        <v>0</v>
      </c>
      <c r="AX223" t="n">
        <f>E223*W223</f>
        <v>0</v>
      </c>
      <c r="AY223" t="n">
        <f>F223*W223</f>
        <v>0</v>
      </c>
      <c r="AZ223" t="n">
        <f>G223*W223</f>
        <v>0</v>
      </c>
      <c r="BA223" t="n">
        <f>H223*W223</f>
        <v>0</v>
      </c>
      <c r="BB223" t="n">
        <f>I223*W223</f>
        <v>0</v>
      </c>
      <c r="BC223" t="n">
        <f>J223*W223</f>
        <v>0</v>
      </c>
      <c r="BD223" t="n">
        <f>K223*W223</f>
        <v>0</v>
      </c>
      <c r="BE223" t="n">
        <f>L223*W223</f>
        <v>0</v>
      </c>
      <c r="BF223" t="n">
        <f>M223*W223</f>
        <v>0</v>
      </c>
      <c r="BG223" t="n">
        <f>N223*W223</f>
        <v>0</v>
      </c>
      <c r="BH223" t="n">
        <f>O223*W223</f>
        <v>0</v>
      </c>
      <c r="BI223" t="n">
        <f>P223*W223</f>
        <v>0</v>
      </c>
      <c r="BJ223" t="n">
        <f>Q223*W223</f>
        <v>0</v>
      </c>
    </row>
    <row r="224">
      <c r="A224" t="n">
        <f>Charges!A224</f>
        <v>0</v>
      </c>
      <c r="B224" t="n">
        <f>Charges!C224</f>
        <v>0</v>
      </c>
      <c r="C224" t="str">
        <f>Charges!D224</f>
        <v/>
      </c>
      <c r="E224" t="n">
        <f>IF(1&lt;=Paramètres!$B$9,MAX(0,IFERROR(N(IF(ISNUMBER(Charges!F224),MAX(0,Charges!F224),IFERROR(VLOOKUP(Charges!F224,Paramètres!$A$15:$B$18,2,FALSE),0))),0)),0)</f>
        <v>0</v>
      </c>
      <c r="F224" t="n">
        <f>IF(2&lt;=Paramètres!$B$9,MAX(0,IFERROR(N(IF(ISNUMBER(Charges!G224),MAX(0,Charges!G224),IFERROR(VLOOKUP(Charges!G224,Paramètres!$A$15:$B$18,2,FALSE),0))),0)),0)</f>
        <v>0</v>
      </c>
      <c r="G224" t="n">
        <f>IF(3&lt;=Paramètres!$B$9,MAX(0,IFERROR(N(IF(ISNUMBER(Charges!H224),MAX(0,Charges!H224),IFERROR(VLOOKUP(Charges!H224,Paramètres!$A$15:$B$18,2,FALSE),0))),0)),0)</f>
        <v>0</v>
      </c>
      <c r="H224" t="n">
        <f>IF(4&lt;=Paramètres!$B$9,MAX(0,IFERROR(N(IF(ISNUMBER(Charges!I224),MAX(0,Charges!I224),IFERROR(VLOOKUP(Charges!I224,Paramètres!$A$15:$B$18,2,FALSE),0))),0)),0)</f>
        <v>0</v>
      </c>
      <c r="I224" t="n">
        <f>IF(5&lt;=Paramètres!$B$9,MAX(0,IFERROR(N(IF(ISNUMBER(Charges!J224),MAX(0,Charges!J224),IFERROR(VLOOKUP(Charges!J224,Paramètres!$A$15:$B$18,2,FALSE),0))),0)),0)</f>
        <v>0</v>
      </c>
      <c r="J224" t="n">
        <f>IF(6&lt;=Paramètres!$B$9,MAX(0,IFERROR(N(IF(ISNUMBER(Charges!K224),MAX(0,Charges!K224),IFERROR(VLOOKUP(Charges!K224,Paramètres!$A$15:$B$18,2,FALSE),0))),0)),0)</f>
        <v>0</v>
      </c>
      <c r="K224" t="n">
        <f>IF(7&lt;=Paramètres!$B$9,MAX(0,IFERROR(N(IF(ISNUMBER(Charges!L224),MAX(0,Charges!L224),IFERROR(VLOOKUP(Charges!L224,Paramètres!$A$15:$B$18,2,FALSE),0))),0)),0)</f>
        <v>0</v>
      </c>
      <c r="L224" t="n">
        <f>IF(8&lt;=Paramètres!$B$9,MAX(0,IFERROR(N(IF(ISNUMBER(Charges!M224),MAX(0,Charges!M224),IFERROR(VLOOKUP(Charges!M224,Paramètres!$A$15:$B$18,2,FALSE),0))),0)),0)</f>
        <v>0</v>
      </c>
      <c r="M224" t="n">
        <f>IF(9&lt;=Paramètres!$B$9,MAX(0,IFERROR(N(IF(ISNUMBER(Charges!N224),MAX(0,Charges!N224),IFERROR(VLOOKUP(Charges!N224,Paramètres!$A$15:$B$18,2,FALSE),0))),0)),0)</f>
        <v>0</v>
      </c>
      <c r="N224" t="n">
        <f>IF(10&lt;=Paramètres!$B$9,MAX(0,IFERROR(N(IF(ISNUMBER(Charges!O224),MAX(0,Charges!O224),IFERROR(VLOOKUP(Charges!O224,Paramètres!$A$15:$B$18,2,FALSE),0))),0)),0)</f>
        <v>0</v>
      </c>
      <c r="O224" t="n">
        <f>IF(11&lt;=Paramètres!$B$9,MAX(0,IFERROR(N(IF(ISNUMBER(Charges!P224),MAX(0,Charges!P224),IFERROR(VLOOKUP(Charges!P224,Paramètres!$A$15:$B$18,2,FALSE),0))),0)),0)</f>
        <v>0</v>
      </c>
      <c r="P224" t="n">
        <f>IF(12&lt;=Paramètres!$B$9,MAX(0,IFERROR(N(IF(ISNUMBER(Charges!Q224),MAX(0,Charges!Q224),IFERROR(VLOOKUP(Charges!Q224,Paramètres!$A$15:$B$18,2,FALSE),0))),0)),0)</f>
        <v>0</v>
      </c>
      <c r="Q224" t="n">
        <f>IF(13&lt;=Paramètres!$B$9,MAX(0,IFERROR(N(IF(ISNUMBER(Charges!R224),MAX(0,Charges!R224),IFERROR(VLOOKUP(Charges!R224,Paramètres!$A$15:$B$18,2,FALSE),0))),0)),0)</f>
        <v>0</v>
      </c>
      <c r="R224" t="n">
        <f>SUM(E224:Q224)</f>
        <v>0</v>
      </c>
      <c r="S224" t="n">
        <f>IF(IFERROR(VLOOKUP(A224,'Projets'!$A$8:$Z$67,7,FALSE),"")="Engager",1,0)</f>
        <v>0</v>
      </c>
      <c r="T224" t="n">
        <f>IF(OR(Charges!F224="",AND(ISNUMBER(Charges!F224),Charges!F224&gt;=0),Charges!F224="S",Charges!F224="M",Charges!F224="L",Charges!F224="XL"),0,1)+IF(OR(Charges!G224="",AND(ISNUMBER(Charges!G224),Charges!G224&gt;=0),Charges!G224="S",Charges!G224="M",Charges!G224="L",Charges!G224="XL"),0,1)+IF(OR(Charges!H224="",AND(ISNUMBER(Charges!H224),Charges!H224&gt;=0),Charges!H224="S",Charges!H224="M",Charges!H224="L",Charges!H224="XL"),0,1)+IF(OR(Charges!I224="",AND(ISNUMBER(Charges!I224),Charges!I224&gt;=0),Charges!I224="S",Charges!I224="M",Charges!I224="L",Charges!I224="XL"),0,1)+IF(OR(Charges!J224="",AND(ISNUMBER(Charges!J224),Charges!J224&gt;=0),Charges!J224="S",Charges!J224="M",Charges!J224="L",Charges!J224="XL"),0,1)+IF(OR(Charges!K224="",AND(ISNUMBER(Charges!K224),Charges!K224&gt;=0),Charges!K224="S",Charges!K224="M",Charges!K224="L",Charges!K224="XL"),0,1)+IF(OR(Charges!L224="",AND(ISNUMBER(Charges!L224),Charges!L224&gt;=0),Charges!L224="S",Charges!L224="M",Charges!L224="L",Charges!L224="XL"),0,1)+IF(OR(Charges!M224="",AND(ISNUMBER(Charges!M224),Charges!M224&gt;=0),Charges!M224="S",Charges!M224="M",Charges!M224="L",Charges!M224="XL"),0,1)+IF(OR(Charges!N224="",AND(ISNUMBER(Charges!N224),Charges!N224&gt;=0),Charges!N224="S",Charges!N224="M",Charges!N224="L",Charges!N224="XL"),0,1)+IF(OR(Charges!O224="",AND(ISNUMBER(Charges!O224),Charges!O224&gt;=0),Charges!O224="S",Charges!O224="M",Charges!O224="L",Charges!O224="XL"),0,1)+IF(OR(Charges!P224="",AND(ISNUMBER(Charges!P224),Charges!P224&gt;=0),Charges!P224="S",Charges!P224="M",Charges!P224="L",Charges!P224="XL"),0,1)+IF(OR(Charges!Q224="",AND(ISNUMBER(Charges!Q224),Charges!Q224&gt;=0),Charges!Q224="S",Charges!Q224="M",Charges!Q224="L",Charges!Q224="XL"),0,1)+IF(OR(Charges!R224="",AND(ISNUMBER(Charges!R224),Charges!R224&gt;=0),Charges!R224="S",Charges!R224="M",Charges!R224="L",Charges!R224="XL"),0,1)</f>
        <v>0</v>
      </c>
      <c r="U224" t="n">
        <f>IF(AND(1&gt;Paramètres!$B$9,Charges!F224&lt;&gt;"",Charges!F224&lt;&gt;0),1,0)+IF(AND(2&gt;Paramètres!$B$9,Charges!G224&lt;&gt;"",Charges!G224&lt;&gt;0),1,0)+IF(AND(3&gt;Paramètres!$B$9,Charges!H224&lt;&gt;"",Charges!H224&lt;&gt;0),1,0)+IF(AND(4&gt;Paramètres!$B$9,Charges!I224&lt;&gt;"",Charges!I224&lt;&gt;0),1,0)+IF(AND(5&gt;Paramètres!$B$9,Charges!J224&lt;&gt;"",Charges!J224&lt;&gt;0),1,0)+IF(AND(6&gt;Paramètres!$B$9,Charges!K224&lt;&gt;"",Charges!K224&lt;&gt;0),1,0)+IF(AND(7&gt;Paramètres!$B$9,Charges!L224&lt;&gt;"",Charges!L224&lt;&gt;0),1,0)+IF(AND(8&gt;Paramètres!$B$9,Charges!M224&lt;&gt;"",Charges!M224&lt;&gt;0),1,0)+IF(AND(9&gt;Paramètres!$B$9,Charges!N224&lt;&gt;"",Charges!N224&lt;&gt;0),1,0)+IF(AND(10&gt;Paramètres!$B$9,Charges!O224&lt;&gt;"",Charges!O224&lt;&gt;0),1,0)+IF(AND(11&gt;Paramètres!$B$9,Charges!P224&lt;&gt;"",Charges!P224&lt;&gt;0),1,0)+IF(AND(12&gt;Paramètres!$B$9,Charges!Q224&lt;&gt;"",Charges!Q224&lt;&gt;0),1,0)+IF(AND(13&gt;Paramètres!$B$9,Charges!R224&lt;&gt;"",Charges!R224&lt;&gt;0),1,0)</f>
        <v>0</v>
      </c>
      <c r="V224" t="n">
        <f>IF(IFERROR(VLOOKUP(A224,'Projets'!$A$8:$Z$67,5,FALSE),"")="Engager",1,0)</f>
        <v>0</v>
      </c>
      <c r="W224" t="n">
        <f>IF(IFERROR(VLOOKUP(A224,'Projets'!$A$8:$Z$67,6,FALSE),"")="Engager",1,0)</f>
        <v>0</v>
      </c>
      <c r="X224" t="n">
        <f>E224*S224</f>
        <v>0</v>
      </c>
      <c r="Y224" t="n">
        <f>F224*S224</f>
        <v>0</v>
      </c>
      <c r="Z224" t="n">
        <f>G224*S224</f>
        <v>0</v>
      </c>
      <c r="AA224" t="n">
        <f>H224*S224</f>
        <v>0</v>
      </c>
      <c r="AB224" t="n">
        <f>I224*S224</f>
        <v>0</v>
      </c>
      <c r="AC224" t="n">
        <f>J224*S224</f>
        <v>0</v>
      </c>
      <c r="AD224" t="n">
        <f>K224*S224</f>
        <v>0</v>
      </c>
      <c r="AE224" t="n">
        <f>L224*S224</f>
        <v>0</v>
      </c>
      <c r="AF224" t="n">
        <f>M224*S224</f>
        <v>0</v>
      </c>
      <c r="AG224" t="n">
        <f>N224*S224</f>
        <v>0</v>
      </c>
      <c r="AH224" t="n">
        <f>O224*S224</f>
        <v>0</v>
      </c>
      <c r="AI224" t="n">
        <f>P224*S224</f>
        <v>0</v>
      </c>
      <c r="AJ224" t="n">
        <f>Q224*S224</f>
        <v>0</v>
      </c>
      <c r="AK224" t="n">
        <f>E224*V224</f>
        <v>0</v>
      </c>
      <c r="AL224" t="n">
        <f>F224*V224</f>
        <v>0</v>
      </c>
      <c r="AM224" t="n">
        <f>G224*V224</f>
        <v>0</v>
      </c>
      <c r="AN224" t="n">
        <f>H224*V224</f>
        <v>0</v>
      </c>
      <c r="AO224" t="n">
        <f>I224*V224</f>
        <v>0</v>
      </c>
      <c r="AP224" t="n">
        <f>J224*V224</f>
        <v>0</v>
      </c>
      <c r="AQ224" t="n">
        <f>K224*V224</f>
        <v>0</v>
      </c>
      <c r="AR224" t="n">
        <f>L224*V224</f>
        <v>0</v>
      </c>
      <c r="AS224" t="n">
        <f>M224*V224</f>
        <v>0</v>
      </c>
      <c r="AT224" t="n">
        <f>N224*V224</f>
        <v>0</v>
      </c>
      <c r="AU224" t="n">
        <f>O224*V224</f>
        <v>0</v>
      </c>
      <c r="AV224" t="n">
        <f>P224*V224</f>
        <v>0</v>
      </c>
      <c r="AW224" t="n">
        <f>Q224*V224</f>
        <v>0</v>
      </c>
      <c r="AX224" t="n">
        <f>E224*W224</f>
        <v>0</v>
      </c>
      <c r="AY224" t="n">
        <f>F224*W224</f>
        <v>0</v>
      </c>
      <c r="AZ224" t="n">
        <f>G224*W224</f>
        <v>0</v>
      </c>
      <c r="BA224" t="n">
        <f>H224*W224</f>
        <v>0</v>
      </c>
      <c r="BB224" t="n">
        <f>I224*W224</f>
        <v>0</v>
      </c>
      <c r="BC224" t="n">
        <f>J224*W224</f>
        <v>0</v>
      </c>
      <c r="BD224" t="n">
        <f>K224*W224</f>
        <v>0</v>
      </c>
      <c r="BE224" t="n">
        <f>L224*W224</f>
        <v>0</v>
      </c>
      <c r="BF224" t="n">
        <f>M224*W224</f>
        <v>0</v>
      </c>
      <c r="BG224" t="n">
        <f>N224*W224</f>
        <v>0</v>
      </c>
      <c r="BH224" t="n">
        <f>O224*W224</f>
        <v>0</v>
      </c>
      <c r="BI224" t="n">
        <f>P224*W224</f>
        <v>0</v>
      </c>
      <c r="BJ224" t="n">
        <f>Q224*W224</f>
        <v>0</v>
      </c>
    </row>
    <row r="225">
      <c r="A225" t="n">
        <f>Charges!A225</f>
        <v>0</v>
      </c>
      <c r="B225" t="n">
        <f>Charges!C225</f>
        <v>0</v>
      </c>
      <c r="C225" t="str">
        <f>Charges!D225</f>
        <v/>
      </c>
      <c r="E225" t="n">
        <f>IF(1&lt;=Paramètres!$B$9,MAX(0,IFERROR(N(IF(ISNUMBER(Charges!F225),MAX(0,Charges!F225),IFERROR(VLOOKUP(Charges!F225,Paramètres!$A$15:$B$18,2,FALSE),0))),0)),0)</f>
        <v>0</v>
      </c>
      <c r="F225" t="n">
        <f>IF(2&lt;=Paramètres!$B$9,MAX(0,IFERROR(N(IF(ISNUMBER(Charges!G225),MAX(0,Charges!G225),IFERROR(VLOOKUP(Charges!G225,Paramètres!$A$15:$B$18,2,FALSE),0))),0)),0)</f>
        <v>0</v>
      </c>
      <c r="G225" t="n">
        <f>IF(3&lt;=Paramètres!$B$9,MAX(0,IFERROR(N(IF(ISNUMBER(Charges!H225),MAX(0,Charges!H225),IFERROR(VLOOKUP(Charges!H225,Paramètres!$A$15:$B$18,2,FALSE),0))),0)),0)</f>
        <v>0</v>
      </c>
      <c r="H225" t="n">
        <f>IF(4&lt;=Paramètres!$B$9,MAX(0,IFERROR(N(IF(ISNUMBER(Charges!I225),MAX(0,Charges!I225),IFERROR(VLOOKUP(Charges!I225,Paramètres!$A$15:$B$18,2,FALSE),0))),0)),0)</f>
        <v>0</v>
      </c>
      <c r="I225" t="n">
        <f>IF(5&lt;=Paramètres!$B$9,MAX(0,IFERROR(N(IF(ISNUMBER(Charges!J225),MAX(0,Charges!J225),IFERROR(VLOOKUP(Charges!J225,Paramètres!$A$15:$B$18,2,FALSE),0))),0)),0)</f>
        <v>0</v>
      </c>
      <c r="J225" t="n">
        <f>IF(6&lt;=Paramètres!$B$9,MAX(0,IFERROR(N(IF(ISNUMBER(Charges!K225),MAX(0,Charges!K225),IFERROR(VLOOKUP(Charges!K225,Paramètres!$A$15:$B$18,2,FALSE),0))),0)),0)</f>
        <v>0</v>
      </c>
      <c r="K225" t="n">
        <f>IF(7&lt;=Paramètres!$B$9,MAX(0,IFERROR(N(IF(ISNUMBER(Charges!L225),MAX(0,Charges!L225),IFERROR(VLOOKUP(Charges!L225,Paramètres!$A$15:$B$18,2,FALSE),0))),0)),0)</f>
        <v>0</v>
      </c>
      <c r="L225" t="n">
        <f>IF(8&lt;=Paramètres!$B$9,MAX(0,IFERROR(N(IF(ISNUMBER(Charges!M225),MAX(0,Charges!M225),IFERROR(VLOOKUP(Charges!M225,Paramètres!$A$15:$B$18,2,FALSE),0))),0)),0)</f>
        <v>0</v>
      </c>
      <c r="M225" t="n">
        <f>IF(9&lt;=Paramètres!$B$9,MAX(0,IFERROR(N(IF(ISNUMBER(Charges!N225),MAX(0,Charges!N225),IFERROR(VLOOKUP(Charges!N225,Paramètres!$A$15:$B$18,2,FALSE),0))),0)),0)</f>
        <v>0</v>
      </c>
      <c r="N225" t="n">
        <f>IF(10&lt;=Paramètres!$B$9,MAX(0,IFERROR(N(IF(ISNUMBER(Charges!O225),MAX(0,Charges!O225),IFERROR(VLOOKUP(Charges!O225,Paramètres!$A$15:$B$18,2,FALSE),0))),0)),0)</f>
        <v>0</v>
      </c>
      <c r="O225" t="n">
        <f>IF(11&lt;=Paramètres!$B$9,MAX(0,IFERROR(N(IF(ISNUMBER(Charges!P225),MAX(0,Charges!P225),IFERROR(VLOOKUP(Charges!P225,Paramètres!$A$15:$B$18,2,FALSE),0))),0)),0)</f>
        <v>0</v>
      </c>
      <c r="P225" t="n">
        <f>IF(12&lt;=Paramètres!$B$9,MAX(0,IFERROR(N(IF(ISNUMBER(Charges!Q225),MAX(0,Charges!Q225),IFERROR(VLOOKUP(Charges!Q225,Paramètres!$A$15:$B$18,2,FALSE),0))),0)),0)</f>
        <v>0</v>
      </c>
      <c r="Q225" t="n">
        <f>IF(13&lt;=Paramètres!$B$9,MAX(0,IFERROR(N(IF(ISNUMBER(Charges!R225),MAX(0,Charges!R225),IFERROR(VLOOKUP(Charges!R225,Paramètres!$A$15:$B$18,2,FALSE),0))),0)),0)</f>
        <v>0</v>
      </c>
      <c r="R225" t="n">
        <f>SUM(E225:Q225)</f>
        <v>0</v>
      </c>
      <c r="S225" t="n">
        <f>IF(IFERROR(VLOOKUP(A225,'Projets'!$A$8:$Z$67,7,FALSE),"")="Engager",1,0)</f>
        <v>0</v>
      </c>
      <c r="T225" t="n">
        <f>IF(OR(Charges!F225="",AND(ISNUMBER(Charges!F225),Charges!F225&gt;=0),Charges!F225="S",Charges!F225="M",Charges!F225="L",Charges!F225="XL"),0,1)+IF(OR(Charges!G225="",AND(ISNUMBER(Charges!G225),Charges!G225&gt;=0),Charges!G225="S",Charges!G225="M",Charges!G225="L",Charges!G225="XL"),0,1)+IF(OR(Charges!H225="",AND(ISNUMBER(Charges!H225),Charges!H225&gt;=0),Charges!H225="S",Charges!H225="M",Charges!H225="L",Charges!H225="XL"),0,1)+IF(OR(Charges!I225="",AND(ISNUMBER(Charges!I225),Charges!I225&gt;=0),Charges!I225="S",Charges!I225="M",Charges!I225="L",Charges!I225="XL"),0,1)+IF(OR(Charges!J225="",AND(ISNUMBER(Charges!J225),Charges!J225&gt;=0),Charges!J225="S",Charges!J225="M",Charges!J225="L",Charges!J225="XL"),0,1)+IF(OR(Charges!K225="",AND(ISNUMBER(Charges!K225),Charges!K225&gt;=0),Charges!K225="S",Charges!K225="M",Charges!K225="L",Charges!K225="XL"),0,1)+IF(OR(Charges!L225="",AND(ISNUMBER(Charges!L225),Charges!L225&gt;=0),Charges!L225="S",Charges!L225="M",Charges!L225="L",Charges!L225="XL"),0,1)+IF(OR(Charges!M225="",AND(ISNUMBER(Charges!M225),Charges!M225&gt;=0),Charges!M225="S",Charges!M225="M",Charges!M225="L",Charges!M225="XL"),0,1)+IF(OR(Charges!N225="",AND(ISNUMBER(Charges!N225),Charges!N225&gt;=0),Charges!N225="S",Charges!N225="M",Charges!N225="L",Charges!N225="XL"),0,1)+IF(OR(Charges!O225="",AND(ISNUMBER(Charges!O225),Charges!O225&gt;=0),Charges!O225="S",Charges!O225="M",Charges!O225="L",Charges!O225="XL"),0,1)+IF(OR(Charges!P225="",AND(ISNUMBER(Charges!P225),Charges!P225&gt;=0),Charges!P225="S",Charges!P225="M",Charges!P225="L",Charges!P225="XL"),0,1)+IF(OR(Charges!Q225="",AND(ISNUMBER(Charges!Q225),Charges!Q225&gt;=0),Charges!Q225="S",Charges!Q225="M",Charges!Q225="L",Charges!Q225="XL"),0,1)+IF(OR(Charges!R225="",AND(ISNUMBER(Charges!R225),Charges!R225&gt;=0),Charges!R225="S",Charges!R225="M",Charges!R225="L",Charges!R225="XL"),0,1)</f>
        <v>0</v>
      </c>
      <c r="U225" t="n">
        <f>IF(AND(1&gt;Paramètres!$B$9,Charges!F225&lt;&gt;"",Charges!F225&lt;&gt;0),1,0)+IF(AND(2&gt;Paramètres!$B$9,Charges!G225&lt;&gt;"",Charges!G225&lt;&gt;0),1,0)+IF(AND(3&gt;Paramètres!$B$9,Charges!H225&lt;&gt;"",Charges!H225&lt;&gt;0),1,0)+IF(AND(4&gt;Paramètres!$B$9,Charges!I225&lt;&gt;"",Charges!I225&lt;&gt;0),1,0)+IF(AND(5&gt;Paramètres!$B$9,Charges!J225&lt;&gt;"",Charges!J225&lt;&gt;0),1,0)+IF(AND(6&gt;Paramètres!$B$9,Charges!K225&lt;&gt;"",Charges!K225&lt;&gt;0),1,0)+IF(AND(7&gt;Paramètres!$B$9,Charges!L225&lt;&gt;"",Charges!L225&lt;&gt;0),1,0)+IF(AND(8&gt;Paramètres!$B$9,Charges!M225&lt;&gt;"",Charges!M225&lt;&gt;0),1,0)+IF(AND(9&gt;Paramètres!$B$9,Charges!N225&lt;&gt;"",Charges!N225&lt;&gt;0),1,0)+IF(AND(10&gt;Paramètres!$B$9,Charges!O225&lt;&gt;"",Charges!O225&lt;&gt;0),1,0)+IF(AND(11&gt;Paramètres!$B$9,Charges!P225&lt;&gt;"",Charges!P225&lt;&gt;0),1,0)+IF(AND(12&gt;Paramètres!$B$9,Charges!Q225&lt;&gt;"",Charges!Q225&lt;&gt;0),1,0)+IF(AND(13&gt;Paramètres!$B$9,Charges!R225&lt;&gt;"",Charges!R225&lt;&gt;0),1,0)</f>
        <v>0</v>
      </c>
      <c r="V225" t="n">
        <f>IF(IFERROR(VLOOKUP(A225,'Projets'!$A$8:$Z$67,5,FALSE),"")="Engager",1,0)</f>
        <v>0</v>
      </c>
      <c r="W225" t="n">
        <f>IF(IFERROR(VLOOKUP(A225,'Projets'!$A$8:$Z$67,6,FALSE),"")="Engager",1,0)</f>
        <v>0</v>
      </c>
      <c r="X225" t="n">
        <f>E225*S225</f>
        <v>0</v>
      </c>
      <c r="Y225" t="n">
        <f>F225*S225</f>
        <v>0</v>
      </c>
      <c r="Z225" t="n">
        <f>G225*S225</f>
        <v>0</v>
      </c>
      <c r="AA225" t="n">
        <f>H225*S225</f>
        <v>0</v>
      </c>
      <c r="AB225" t="n">
        <f>I225*S225</f>
        <v>0</v>
      </c>
      <c r="AC225" t="n">
        <f>J225*S225</f>
        <v>0</v>
      </c>
      <c r="AD225" t="n">
        <f>K225*S225</f>
        <v>0</v>
      </c>
      <c r="AE225" t="n">
        <f>L225*S225</f>
        <v>0</v>
      </c>
      <c r="AF225" t="n">
        <f>M225*S225</f>
        <v>0</v>
      </c>
      <c r="AG225" t="n">
        <f>N225*S225</f>
        <v>0</v>
      </c>
      <c r="AH225" t="n">
        <f>O225*S225</f>
        <v>0</v>
      </c>
      <c r="AI225" t="n">
        <f>P225*S225</f>
        <v>0</v>
      </c>
      <c r="AJ225" t="n">
        <f>Q225*S225</f>
        <v>0</v>
      </c>
      <c r="AK225" t="n">
        <f>E225*V225</f>
        <v>0</v>
      </c>
      <c r="AL225" t="n">
        <f>F225*V225</f>
        <v>0</v>
      </c>
      <c r="AM225" t="n">
        <f>G225*V225</f>
        <v>0</v>
      </c>
      <c r="AN225" t="n">
        <f>H225*V225</f>
        <v>0</v>
      </c>
      <c r="AO225" t="n">
        <f>I225*V225</f>
        <v>0</v>
      </c>
      <c r="AP225" t="n">
        <f>J225*V225</f>
        <v>0</v>
      </c>
      <c r="AQ225" t="n">
        <f>K225*V225</f>
        <v>0</v>
      </c>
      <c r="AR225" t="n">
        <f>L225*V225</f>
        <v>0</v>
      </c>
      <c r="AS225" t="n">
        <f>M225*V225</f>
        <v>0</v>
      </c>
      <c r="AT225" t="n">
        <f>N225*V225</f>
        <v>0</v>
      </c>
      <c r="AU225" t="n">
        <f>O225*V225</f>
        <v>0</v>
      </c>
      <c r="AV225" t="n">
        <f>P225*V225</f>
        <v>0</v>
      </c>
      <c r="AW225" t="n">
        <f>Q225*V225</f>
        <v>0</v>
      </c>
      <c r="AX225" t="n">
        <f>E225*W225</f>
        <v>0</v>
      </c>
      <c r="AY225" t="n">
        <f>F225*W225</f>
        <v>0</v>
      </c>
      <c r="AZ225" t="n">
        <f>G225*W225</f>
        <v>0</v>
      </c>
      <c r="BA225" t="n">
        <f>H225*W225</f>
        <v>0</v>
      </c>
      <c r="BB225" t="n">
        <f>I225*W225</f>
        <v>0</v>
      </c>
      <c r="BC225" t="n">
        <f>J225*W225</f>
        <v>0</v>
      </c>
      <c r="BD225" t="n">
        <f>K225*W225</f>
        <v>0</v>
      </c>
      <c r="BE225" t="n">
        <f>L225*W225</f>
        <v>0</v>
      </c>
      <c r="BF225" t="n">
        <f>M225*W225</f>
        <v>0</v>
      </c>
      <c r="BG225" t="n">
        <f>N225*W225</f>
        <v>0</v>
      </c>
      <c r="BH225" t="n">
        <f>O225*W225</f>
        <v>0</v>
      </c>
      <c r="BI225" t="n">
        <f>P225*W225</f>
        <v>0</v>
      </c>
      <c r="BJ225" t="n">
        <f>Q225*W225</f>
        <v>0</v>
      </c>
    </row>
    <row r="226">
      <c r="A226" t="n">
        <f>Charges!A226</f>
        <v>0</v>
      </c>
      <c r="B226" t="n">
        <f>Charges!C226</f>
        <v>0</v>
      </c>
      <c r="C226" t="str">
        <f>Charges!D226</f>
        <v/>
      </c>
      <c r="E226" t="n">
        <f>IF(1&lt;=Paramètres!$B$9,MAX(0,IFERROR(N(IF(ISNUMBER(Charges!F226),MAX(0,Charges!F226),IFERROR(VLOOKUP(Charges!F226,Paramètres!$A$15:$B$18,2,FALSE),0))),0)),0)</f>
        <v>0</v>
      </c>
      <c r="F226" t="n">
        <f>IF(2&lt;=Paramètres!$B$9,MAX(0,IFERROR(N(IF(ISNUMBER(Charges!G226),MAX(0,Charges!G226),IFERROR(VLOOKUP(Charges!G226,Paramètres!$A$15:$B$18,2,FALSE),0))),0)),0)</f>
        <v>0</v>
      </c>
      <c r="G226" t="n">
        <f>IF(3&lt;=Paramètres!$B$9,MAX(0,IFERROR(N(IF(ISNUMBER(Charges!H226),MAX(0,Charges!H226),IFERROR(VLOOKUP(Charges!H226,Paramètres!$A$15:$B$18,2,FALSE),0))),0)),0)</f>
        <v>0</v>
      </c>
      <c r="H226" t="n">
        <f>IF(4&lt;=Paramètres!$B$9,MAX(0,IFERROR(N(IF(ISNUMBER(Charges!I226),MAX(0,Charges!I226),IFERROR(VLOOKUP(Charges!I226,Paramètres!$A$15:$B$18,2,FALSE),0))),0)),0)</f>
        <v>0</v>
      </c>
      <c r="I226" t="n">
        <f>IF(5&lt;=Paramètres!$B$9,MAX(0,IFERROR(N(IF(ISNUMBER(Charges!J226),MAX(0,Charges!J226),IFERROR(VLOOKUP(Charges!J226,Paramètres!$A$15:$B$18,2,FALSE),0))),0)),0)</f>
        <v>0</v>
      </c>
      <c r="J226" t="n">
        <f>IF(6&lt;=Paramètres!$B$9,MAX(0,IFERROR(N(IF(ISNUMBER(Charges!K226),MAX(0,Charges!K226),IFERROR(VLOOKUP(Charges!K226,Paramètres!$A$15:$B$18,2,FALSE),0))),0)),0)</f>
        <v>0</v>
      </c>
      <c r="K226" t="n">
        <f>IF(7&lt;=Paramètres!$B$9,MAX(0,IFERROR(N(IF(ISNUMBER(Charges!L226),MAX(0,Charges!L226),IFERROR(VLOOKUP(Charges!L226,Paramètres!$A$15:$B$18,2,FALSE),0))),0)),0)</f>
        <v>0</v>
      </c>
      <c r="L226" t="n">
        <f>IF(8&lt;=Paramètres!$B$9,MAX(0,IFERROR(N(IF(ISNUMBER(Charges!M226),MAX(0,Charges!M226),IFERROR(VLOOKUP(Charges!M226,Paramètres!$A$15:$B$18,2,FALSE),0))),0)),0)</f>
        <v>0</v>
      </c>
      <c r="M226" t="n">
        <f>IF(9&lt;=Paramètres!$B$9,MAX(0,IFERROR(N(IF(ISNUMBER(Charges!N226),MAX(0,Charges!N226),IFERROR(VLOOKUP(Charges!N226,Paramètres!$A$15:$B$18,2,FALSE),0))),0)),0)</f>
        <v>0</v>
      </c>
      <c r="N226" t="n">
        <f>IF(10&lt;=Paramètres!$B$9,MAX(0,IFERROR(N(IF(ISNUMBER(Charges!O226),MAX(0,Charges!O226),IFERROR(VLOOKUP(Charges!O226,Paramètres!$A$15:$B$18,2,FALSE),0))),0)),0)</f>
        <v>0</v>
      </c>
      <c r="O226" t="n">
        <f>IF(11&lt;=Paramètres!$B$9,MAX(0,IFERROR(N(IF(ISNUMBER(Charges!P226),MAX(0,Charges!P226),IFERROR(VLOOKUP(Charges!P226,Paramètres!$A$15:$B$18,2,FALSE),0))),0)),0)</f>
        <v>0</v>
      </c>
      <c r="P226" t="n">
        <f>IF(12&lt;=Paramètres!$B$9,MAX(0,IFERROR(N(IF(ISNUMBER(Charges!Q226),MAX(0,Charges!Q226),IFERROR(VLOOKUP(Charges!Q226,Paramètres!$A$15:$B$18,2,FALSE),0))),0)),0)</f>
        <v>0</v>
      </c>
      <c r="Q226" t="n">
        <f>IF(13&lt;=Paramètres!$B$9,MAX(0,IFERROR(N(IF(ISNUMBER(Charges!R226),MAX(0,Charges!R226),IFERROR(VLOOKUP(Charges!R226,Paramètres!$A$15:$B$18,2,FALSE),0))),0)),0)</f>
        <v>0</v>
      </c>
      <c r="R226" t="n">
        <f>SUM(E226:Q226)</f>
        <v>0</v>
      </c>
      <c r="S226" t="n">
        <f>IF(IFERROR(VLOOKUP(A226,'Projets'!$A$8:$Z$67,7,FALSE),"")="Engager",1,0)</f>
        <v>0</v>
      </c>
      <c r="T226" t="n">
        <f>IF(OR(Charges!F226="",AND(ISNUMBER(Charges!F226),Charges!F226&gt;=0),Charges!F226="S",Charges!F226="M",Charges!F226="L",Charges!F226="XL"),0,1)+IF(OR(Charges!G226="",AND(ISNUMBER(Charges!G226),Charges!G226&gt;=0),Charges!G226="S",Charges!G226="M",Charges!G226="L",Charges!G226="XL"),0,1)+IF(OR(Charges!H226="",AND(ISNUMBER(Charges!H226),Charges!H226&gt;=0),Charges!H226="S",Charges!H226="M",Charges!H226="L",Charges!H226="XL"),0,1)+IF(OR(Charges!I226="",AND(ISNUMBER(Charges!I226),Charges!I226&gt;=0),Charges!I226="S",Charges!I226="M",Charges!I226="L",Charges!I226="XL"),0,1)+IF(OR(Charges!J226="",AND(ISNUMBER(Charges!J226),Charges!J226&gt;=0),Charges!J226="S",Charges!J226="M",Charges!J226="L",Charges!J226="XL"),0,1)+IF(OR(Charges!K226="",AND(ISNUMBER(Charges!K226),Charges!K226&gt;=0),Charges!K226="S",Charges!K226="M",Charges!K226="L",Charges!K226="XL"),0,1)+IF(OR(Charges!L226="",AND(ISNUMBER(Charges!L226),Charges!L226&gt;=0),Charges!L226="S",Charges!L226="M",Charges!L226="L",Charges!L226="XL"),0,1)+IF(OR(Charges!M226="",AND(ISNUMBER(Charges!M226),Charges!M226&gt;=0),Charges!M226="S",Charges!M226="M",Charges!M226="L",Charges!M226="XL"),0,1)+IF(OR(Charges!N226="",AND(ISNUMBER(Charges!N226),Charges!N226&gt;=0),Charges!N226="S",Charges!N226="M",Charges!N226="L",Charges!N226="XL"),0,1)+IF(OR(Charges!O226="",AND(ISNUMBER(Charges!O226),Charges!O226&gt;=0),Charges!O226="S",Charges!O226="M",Charges!O226="L",Charges!O226="XL"),0,1)+IF(OR(Charges!P226="",AND(ISNUMBER(Charges!P226),Charges!P226&gt;=0),Charges!P226="S",Charges!P226="M",Charges!P226="L",Charges!P226="XL"),0,1)+IF(OR(Charges!Q226="",AND(ISNUMBER(Charges!Q226),Charges!Q226&gt;=0),Charges!Q226="S",Charges!Q226="M",Charges!Q226="L",Charges!Q226="XL"),0,1)+IF(OR(Charges!R226="",AND(ISNUMBER(Charges!R226),Charges!R226&gt;=0),Charges!R226="S",Charges!R226="M",Charges!R226="L",Charges!R226="XL"),0,1)</f>
        <v>0</v>
      </c>
      <c r="U226" t="n">
        <f>IF(AND(1&gt;Paramètres!$B$9,Charges!F226&lt;&gt;"",Charges!F226&lt;&gt;0),1,0)+IF(AND(2&gt;Paramètres!$B$9,Charges!G226&lt;&gt;"",Charges!G226&lt;&gt;0),1,0)+IF(AND(3&gt;Paramètres!$B$9,Charges!H226&lt;&gt;"",Charges!H226&lt;&gt;0),1,0)+IF(AND(4&gt;Paramètres!$B$9,Charges!I226&lt;&gt;"",Charges!I226&lt;&gt;0),1,0)+IF(AND(5&gt;Paramètres!$B$9,Charges!J226&lt;&gt;"",Charges!J226&lt;&gt;0),1,0)+IF(AND(6&gt;Paramètres!$B$9,Charges!K226&lt;&gt;"",Charges!K226&lt;&gt;0),1,0)+IF(AND(7&gt;Paramètres!$B$9,Charges!L226&lt;&gt;"",Charges!L226&lt;&gt;0),1,0)+IF(AND(8&gt;Paramètres!$B$9,Charges!M226&lt;&gt;"",Charges!M226&lt;&gt;0),1,0)+IF(AND(9&gt;Paramètres!$B$9,Charges!N226&lt;&gt;"",Charges!N226&lt;&gt;0),1,0)+IF(AND(10&gt;Paramètres!$B$9,Charges!O226&lt;&gt;"",Charges!O226&lt;&gt;0),1,0)+IF(AND(11&gt;Paramètres!$B$9,Charges!P226&lt;&gt;"",Charges!P226&lt;&gt;0),1,0)+IF(AND(12&gt;Paramètres!$B$9,Charges!Q226&lt;&gt;"",Charges!Q226&lt;&gt;0),1,0)+IF(AND(13&gt;Paramètres!$B$9,Charges!R226&lt;&gt;"",Charges!R226&lt;&gt;0),1,0)</f>
        <v>0</v>
      </c>
      <c r="V226" t="n">
        <f>IF(IFERROR(VLOOKUP(A226,'Projets'!$A$8:$Z$67,5,FALSE),"")="Engager",1,0)</f>
        <v>0</v>
      </c>
      <c r="W226" t="n">
        <f>IF(IFERROR(VLOOKUP(A226,'Projets'!$A$8:$Z$67,6,FALSE),"")="Engager",1,0)</f>
        <v>0</v>
      </c>
      <c r="X226" t="n">
        <f>E226*S226</f>
        <v>0</v>
      </c>
      <c r="Y226" t="n">
        <f>F226*S226</f>
        <v>0</v>
      </c>
      <c r="Z226" t="n">
        <f>G226*S226</f>
        <v>0</v>
      </c>
      <c r="AA226" t="n">
        <f>H226*S226</f>
        <v>0</v>
      </c>
      <c r="AB226" t="n">
        <f>I226*S226</f>
        <v>0</v>
      </c>
      <c r="AC226" t="n">
        <f>J226*S226</f>
        <v>0</v>
      </c>
      <c r="AD226" t="n">
        <f>K226*S226</f>
        <v>0</v>
      </c>
      <c r="AE226" t="n">
        <f>L226*S226</f>
        <v>0</v>
      </c>
      <c r="AF226" t="n">
        <f>M226*S226</f>
        <v>0</v>
      </c>
      <c r="AG226" t="n">
        <f>N226*S226</f>
        <v>0</v>
      </c>
      <c r="AH226" t="n">
        <f>O226*S226</f>
        <v>0</v>
      </c>
      <c r="AI226" t="n">
        <f>P226*S226</f>
        <v>0</v>
      </c>
      <c r="AJ226" t="n">
        <f>Q226*S226</f>
        <v>0</v>
      </c>
      <c r="AK226" t="n">
        <f>E226*V226</f>
        <v>0</v>
      </c>
      <c r="AL226" t="n">
        <f>F226*V226</f>
        <v>0</v>
      </c>
      <c r="AM226" t="n">
        <f>G226*V226</f>
        <v>0</v>
      </c>
      <c r="AN226" t="n">
        <f>H226*V226</f>
        <v>0</v>
      </c>
      <c r="AO226" t="n">
        <f>I226*V226</f>
        <v>0</v>
      </c>
      <c r="AP226" t="n">
        <f>J226*V226</f>
        <v>0</v>
      </c>
      <c r="AQ226" t="n">
        <f>K226*V226</f>
        <v>0</v>
      </c>
      <c r="AR226" t="n">
        <f>L226*V226</f>
        <v>0</v>
      </c>
      <c r="AS226" t="n">
        <f>M226*V226</f>
        <v>0</v>
      </c>
      <c r="AT226" t="n">
        <f>N226*V226</f>
        <v>0</v>
      </c>
      <c r="AU226" t="n">
        <f>O226*V226</f>
        <v>0</v>
      </c>
      <c r="AV226" t="n">
        <f>P226*V226</f>
        <v>0</v>
      </c>
      <c r="AW226" t="n">
        <f>Q226*V226</f>
        <v>0</v>
      </c>
      <c r="AX226" t="n">
        <f>E226*W226</f>
        <v>0</v>
      </c>
      <c r="AY226" t="n">
        <f>F226*W226</f>
        <v>0</v>
      </c>
      <c r="AZ226" t="n">
        <f>G226*W226</f>
        <v>0</v>
      </c>
      <c r="BA226" t="n">
        <f>H226*W226</f>
        <v>0</v>
      </c>
      <c r="BB226" t="n">
        <f>I226*W226</f>
        <v>0</v>
      </c>
      <c r="BC226" t="n">
        <f>J226*W226</f>
        <v>0</v>
      </c>
      <c r="BD226" t="n">
        <f>K226*W226</f>
        <v>0</v>
      </c>
      <c r="BE226" t="n">
        <f>L226*W226</f>
        <v>0</v>
      </c>
      <c r="BF226" t="n">
        <f>M226*W226</f>
        <v>0</v>
      </c>
      <c r="BG226" t="n">
        <f>N226*W226</f>
        <v>0</v>
      </c>
      <c r="BH226" t="n">
        <f>O226*W226</f>
        <v>0</v>
      </c>
      <c r="BI226" t="n">
        <f>P226*W226</f>
        <v>0</v>
      </c>
      <c r="BJ226" t="n">
        <f>Q226*W226</f>
        <v>0</v>
      </c>
    </row>
    <row r="227">
      <c r="A227" t="n">
        <f>Charges!A227</f>
        <v>0</v>
      </c>
      <c r="B227" t="n">
        <f>Charges!C227</f>
        <v>0</v>
      </c>
      <c r="C227" t="str">
        <f>Charges!D227</f>
        <v/>
      </c>
      <c r="E227" t="n">
        <f>IF(1&lt;=Paramètres!$B$9,MAX(0,IFERROR(N(IF(ISNUMBER(Charges!F227),MAX(0,Charges!F227),IFERROR(VLOOKUP(Charges!F227,Paramètres!$A$15:$B$18,2,FALSE),0))),0)),0)</f>
        <v>0</v>
      </c>
      <c r="F227" t="n">
        <f>IF(2&lt;=Paramètres!$B$9,MAX(0,IFERROR(N(IF(ISNUMBER(Charges!G227),MAX(0,Charges!G227),IFERROR(VLOOKUP(Charges!G227,Paramètres!$A$15:$B$18,2,FALSE),0))),0)),0)</f>
        <v>0</v>
      </c>
      <c r="G227" t="n">
        <f>IF(3&lt;=Paramètres!$B$9,MAX(0,IFERROR(N(IF(ISNUMBER(Charges!H227),MAX(0,Charges!H227),IFERROR(VLOOKUP(Charges!H227,Paramètres!$A$15:$B$18,2,FALSE),0))),0)),0)</f>
        <v>0</v>
      </c>
      <c r="H227" t="n">
        <f>IF(4&lt;=Paramètres!$B$9,MAX(0,IFERROR(N(IF(ISNUMBER(Charges!I227),MAX(0,Charges!I227),IFERROR(VLOOKUP(Charges!I227,Paramètres!$A$15:$B$18,2,FALSE),0))),0)),0)</f>
        <v>0</v>
      </c>
      <c r="I227" t="n">
        <f>IF(5&lt;=Paramètres!$B$9,MAX(0,IFERROR(N(IF(ISNUMBER(Charges!J227),MAX(0,Charges!J227),IFERROR(VLOOKUP(Charges!J227,Paramètres!$A$15:$B$18,2,FALSE),0))),0)),0)</f>
        <v>0</v>
      </c>
      <c r="J227" t="n">
        <f>IF(6&lt;=Paramètres!$B$9,MAX(0,IFERROR(N(IF(ISNUMBER(Charges!K227),MAX(0,Charges!K227),IFERROR(VLOOKUP(Charges!K227,Paramètres!$A$15:$B$18,2,FALSE),0))),0)),0)</f>
        <v>0</v>
      </c>
      <c r="K227" t="n">
        <f>IF(7&lt;=Paramètres!$B$9,MAX(0,IFERROR(N(IF(ISNUMBER(Charges!L227),MAX(0,Charges!L227),IFERROR(VLOOKUP(Charges!L227,Paramètres!$A$15:$B$18,2,FALSE),0))),0)),0)</f>
        <v>0</v>
      </c>
      <c r="L227" t="n">
        <f>IF(8&lt;=Paramètres!$B$9,MAX(0,IFERROR(N(IF(ISNUMBER(Charges!M227),MAX(0,Charges!M227),IFERROR(VLOOKUP(Charges!M227,Paramètres!$A$15:$B$18,2,FALSE),0))),0)),0)</f>
        <v>0</v>
      </c>
      <c r="M227" t="n">
        <f>IF(9&lt;=Paramètres!$B$9,MAX(0,IFERROR(N(IF(ISNUMBER(Charges!N227),MAX(0,Charges!N227),IFERROR(VLOOKUP(Charges!N227,Paramètres!$A$15:$B$18,2,FALSE),0))),0)),0)</f>
        <v>0</v>
      </c>
      <c r="N227" t="n">
        <f>IF(10&lt;=Paramètres!$B$9,MAX(0,IFERROR(N(IF(ISNUMBER(Charges!O227),MAX(0,Charges!O227),IFERROR(VLOOKUP(Charges!O227,Paramètres!$A$15:$B$18,2,FALSE),0))),0)),0)</f>
        <v>0</v>
      </c>
      <c r="O227" t="n">
        <f>IF(11&lt;=Paramètres!$B$9,MAX(0,IFERROR(N(IF(ISNUMBER(Charges!P227),MAX(0,Charges!P227),IFERROR(VLOOKUP(Charges!P227,Paramètres!$A$15:$B$18,2,FALSE),0))),0)),0)</f>
        <v>0</v>
      </c>
      <c r="P227" t="n">
        <f>IF(12&lt;=Paramètres!$B$9,MAX(0,IFERROR(N(IF(ISNUMBER(Charges!Q227),MAX(0,Charges!Q227),IFERROR(VLOOKUP(Charges!Q227,Paramètres!$A$15:$B$18,2,FALSE),0))),0)),0)</f>
        <v>0</v>
      </c>
      <c r="Q227" t="n">
        <f>IF(13&lt;=Paramètres!$B$9,MAX(0,IFERROR(N(IF(ISNUMBER(Charges!R227),MAX(0,Charges!R227),IFERROR(VLOOKUP(Charges!R227,Paramètres!$A$15:$B$18,2,FALSE),0))),0)),0)</f>
        <v>0</v>
      </c>
      <c r="R227" t="n">
        <f>SUM(E227:Q227)</f>
        <v>0</v>
      </c>
      <c r="S227" t="n">
        <f>IF(IFERROR(VLOOKUP(A227,'Projets'!$A$8:$Z$67,7,FALSE),"")="Engager",1,0)</f>
        <v>0</v>
      </c>
      <c r="T227" t="n">
        <f>IF(OR(Charges!F227="",AND(ISNUMBER(Charges!F227),Charges!F227&gt;=0),Charges!F227="S",Charges!F227="M",Charges!F227="L",Charges!F227="XL"),0,1)+IF(OR(Charges!G227="",AND(ISNUMBER(Charges!G227),Charges!G227&gt;=0),Charges!G227="S",Charges!G227="M",Charges!G227="L",Charges!G227="XL"),0,1)+IF(OR(Charges!H227="",AND(ISNUMBER(Charges!H227),Charges!H227&gt;=0),Charges!H227="S",Charges!H227="M",Charges!H227="L",Charges!H227="XL"),0,1)+IF(OR(Charges!I227="",AND(ISNUMBER(Charges!I227),Charges!I227&gt;=0),Charges!I227="S",Charges!I227="M",Charges!I227="L",Charges!I227="XL"),0,1)+IF(OR(Charges!J227="",AND(ISNUMBER(Charges!J227),Charges!J227&gt;=0),Charges!J227="S",Charges!J227="M",Charges!J227="L",Charges!J227="XL"),0,1)+IF(OR(Charges!K227="",AND(ISNUMBER(Charges!K227),Charges!K227&gt;=0),Charges!K227="S",Charges!K227="M",Charges!K227="L",Charges!K227="XL"),0,1)+IF(OR(Charges!L227="",AND(ISNUMBER(Charges!L227),Charges!L227&gt;=0),Charges!L227="S",Charges!L227="M",Charges!L227="L",Charges!L227="XL"),0,1)+IF(OR(Charges!M227="",AND(ISNUMBER(Charges!M227),Charges!M227&gt;=0),Charges!M227="S",Charges!M227="M",Charges!M227="L",Charges!M227="XL"),0,1)+IF(OR(Charges!N227="",AND(ISNUMBER(Charges!N227),Charges!N227&gt;=0),Charges!N227="S",Charges!N227="M",Charges!N227="L",Charges!N227="XL"),0,1)+IF(OR(Charges!O227="",AND(ISNUMBER(Charges!O227),Charges!O227&gt;=0),Charges!O227="S",Charges!O227="M",Charges!O227="L",Charges!O227="XL"),0,1)+IF(OR(Charges!P227="",AND(ISNUMBER(Charges!P227),Charges!P227&gt;=0),Charges!P227="S",Charges!P227="M",Charges!P227="L",Charges!P227="XL"),0,1)+IF(OR(Charges!Q227="",AND(ISNUMBER(Charges!Q227),Charges!Q227&gt;=0),Charges!Q227="S",Charges!Q227="M",Charges!Q227="L",Charges!Q227="XL"),0,1)+IF(OR(Charges!R227="",AND(ISNUMBER(Charges!R227),Charges!R227&gt;=0),Charges!R227="S",Charges!R227="M",Charges!R227="L",Charges!R227="XL"),0,1)</f>
        <v>0</v>
      </c>
      <c r="U227" t="n">
        <f>IF(AND(1&gt;Paramètres!$B$9,Charges!F227&lt;&gt;"",Charges!F227&lt;&gt;0),1,0)+IF(AND(2&gt;Paramètres!$B$9,Charges!G227&lt;&gt;"",Charges!G227&lt;&gt;0),1,0)+IF(AND(3&gt;Paramètres!$B$9,Charges!H227&lt;&gt;"",Charges!H227&lt;&gt;0),1,0)+IF(AND(4&gt;Paramètres!$B$9,Charges!I227&lt;&gt;"",Charges!I227&lt;&gt;0),1,0)+IF(AND(5&gt;Paramètres!$B$9,Charges!J227&lt;&gt;"",Charges!J227&lt;&gt;0),1,0)+IF(AND(6&gt;Paramètres!$B$9,Charges!K227&lt;&gt;"",Charges!K227&lt;&gt;0),1,0)+IF(AND(7&gt;Paramètres!$B$9,Charges!L227&lt;&gt;"",Charges!L227&lt;&gt;0),1,0)+IF(AND(8&gt;Paramètres!$B$9,Charges!M227&lt;&gt;"",Charges!M227&lt;&gt;0),1,0)+IF(AND(9&gt;Paramètres!$B$9,Charges!N227&lt;&gt;"",Charges!N227&lt;&gt;0),1,0)+IF(AND(10&gt;Paramètres!$B$9,Charges!O227&lt;&gt;"",Charges!O227&lt;&gt;0),1,0)+IF(AND(11&gt;Paramètres!$B$9,Charges!P227&lt;&gt;"",Charges!P227&lt;&gt;0),1,0)+IF(AND(12&gt;Paramètres!$B$9,Charges!Q227&lt;&gt;"",Charges!Q227&lt;&gt;0),1,0)+IF(AND(13&gt;Paramètres!$B$9,Charges!R227&lt;&gt;"",Charges!R227&lt;&gt;0),1,0)</f>
        <v>0</v>
      </c>
      <c r="V227" t="n">
        <f>IF(IFERROR(VLOOKUP(A227,'Projets'!$A$8:$Z$67,5,FALSE),"")="Engager",1,0)</f>
        <v>0</v>
      </c>
      <c r="W227" t="n">
        <f>IF(IFERROR(VLOOKUP(A227,'Projets'!$A$8:$Z$67,6,FALSE),"")="Engager",1,0)</f>
        <v>0</v>
      </c>
      <c r="X227" t="n">
        <f>E227*S227</f>
        <v>0</v>
      </c>
      <c r="Y227" t="n">
        <f>F227*S227</f>
        <v>0</v>
      </c>
      <c r="Z227" t="n">
        <f>G227*S227</f>
        <v>0</v>
      </c>
      <c r="AA227" t="n">
        <f>H227*S227</f>
        <v>0</v>
      </c>
      <c r="AB227" t="n">
        <f>I227*S227</f>
        <v>0</v>
      </c>
      <c r="AC227" t="n">
        <f>J227*S227</f>
        <v>0</v>
      </c>
      <c r="AD227" t="n">
        <f>K227*S227</f>
        <v>0</v>
      </c>
      <c r="AE227" t="n">
        <f>L227*S227</f>
        <v>0</v>
      </c>
      <c r="AF227" t="n">
        <f>M227*S227</f>
        <v>0</v>
      </c>
      <c r="AG227" t="n">
        <f>N227*S227</f>
        <v>0</v>
      </c>
      <c r="AH227" t="n">
        <f>O227*S227</f>
        <v>0</v>
      </c>
      <c r="AI227" t="n">
        <f>P227*S227</f>
        <v>0</v>
      </c>
      <c r="AJ227" t="n">
        <f>Q227*S227</f>
        <v>0</v>
      </c>
      <c r="AK227" t="n">
        <f>E227*V227</f>
        <v>0</v>
      </c>
      <c r="AL227" t="n">
        <f>F227*V227</f>
        <v>0</v>
      </c>
      <c r="AM227" t="n">
        <f>G227*V227</f>
        <v>0</v>
      </c>
      <c r="AN227" t="n">
        <f>H227*V227</f>
        <v>0</v>
      </c>
      <c r="AO227" t="n">
        <f>I227*V227</f>
        <v>0</v>
      </c>
      <c r="AP227" t="n">
        <f>J227*V227</f>
        <v>0</v>
      </c>
      <c r="AQ227" t="n">
        <f>K227*V227</f>
        <v>0</v>
      </c>
      <c r="AR227" t="n">
        <f>L227*V227</f>
        <v>0</v>
      </c>
      <c r="AS227" t="n">
        <f>M227*V227</f>
        <v>0</v>
      </c>
      <c r="AT227" t="n">
        <f>N227*V227</f>
        <v>0</v>
      </c>
      <c r="AU227" t="n">
        <f>O227*V227</f>
        <v>0</v>
      </c>
      <c r="AV227" t="n">
        <f>P227*V227</f>
        <v>0</v>
      </c>
      <c r="AW227" t="n">
        <f>Q227*V227</f>
        <v>0</v>
      </c>
      <c r="AX227" t="n">
        <f>E227*W227</f>
        <v>0</v>
      </c>
      <c r="AY227" t="n">
        <f>F227*W227</f>
        <v>0</v>
      </c>
      <c r="AZ227" t="n">
        <f>G227*W227</f>
        <v>0</v>
      </c>
      <c r="BA227" t="n">
        <f>H227*W227</f>
        <v>0</v>
      </c>
      <c r="BB227" t="n">
        <f>I227*W227</f>
        <v>0</v>
      </c>
      <c r="BC227" t="n">
        <f>J227*W227</f>
        <v>0</v>
      </c>
      <c r="BD227" t="n">
        <f>K227*W227</f>
        <v>0</v>
      </c>
      <c r="BE227" t="n">
        <f>L227*W227</f>
        <v>0</v>
      </c>
      <c r="BF227" t="n">
        <f>M227*W227</f>
        <v>0</v>
      </c>
      <c r="BG227" t="n">
        <f>N227*W227</f>
        <v>0</v>
      </c>
      <c r="BH227" t="n">
        <f>O227*W227</f>
        <v>0</v>
      </c>
      <c r="BI227" t="n">
        <f>P227*W227</f>
        <v>0</v>
      </c>
      <c r="BJ227" t="n">
        <f>Q227*W227</f>
        <v>0</v>
      </c>
    </row>
    <row r="228">
      <c r="A228" t="n">
        <f>Charges!A228</f>
        <v>0</v>
      </c>
      <c r="B228" t="n">
        <f>Charges!C228</f>
        <v>0</v>
      </c>
      <c r="C228" t="str">
        <f>Charges!D228</f>
        <v/>
      </c>
      <c r="E228" t="n">
        <f>IF(1&lt;=Paramètres!$B$9,MAX(0,IFERROR(N(IF(ISNUMBER(Charges!F228),MAX(0,Charges!F228),IFERROR(VLOOKUP(Charges!F228,Paramètres!$A$15:$B$18,2,FALSE),0))),0)),0)</f>
        <v>0</v>
      </c>
      <c r="F228" t="n">
        <f>IF(2&lt;=Paramètres!$B$9,MAX(0,IFERROR(N(IF(ISNUMBER(Charges!G228),MAX(0,Charges!G228),IFERROR(VLOOKUP(Charges!G228,Paramètres!$A$15:$B$18,2,FALSE),0))),0)),0)</f>
        <v>0</v>
      </c>
      <c r="G228" t="n">
        <f>IF(3&lt;=Paramètres!$B$9,MAX(0,IFERROR(N(IF(ISNUMBER(Charges!H228),MAX(0,Charges!H228),IFERROR(VLOOKUP(Charges!H228,Paramètres!$A$15:$B$18,2,FALSE),0))),0)),0)</f>
        <v>0</v>
      </c>
      <c r="H228" t="n">
        <f>IF(4&lt;=Paramètres!$B$9,MAX(0,IFERROR(N(IF(ISNUMBER(Charges!I228),MAX(0,Charges!I228),IFERROR(VLOOKUP(Charges!I228,Paramètres!$A$15:$B$18,2,FALSE),0))),0)),0)</f>
        <v>0</v>
      </c>
      <c r="I228" t="n">
        <f>IF(5&lt;=Paramètres!$B$9,MAX(0,IFERROR(N(IF(ISNUMBER(Charges!J228),MAX(0,Charges!J228),IFERROR(VLOOKUP(Charges!J228,Paramètres!$A$15:$B$18,2,FALSE),0))),0)),0)</f>
        <v>0</v>
      </c>
      <c r="J228" t="n">
        <f>IF(6&lt;=Paramètres!$B$9,MAX(0,IFERROR(N(IF(ISNUMBER(Charges!K228),MAX(0,Charges!K228),IFERROR(VLOOKUP(Charges!K228,Paramètres!$A$15:$B$18,2,FALSE),0))),0)),0)</f>
        <v>0</v>
      </c>
      <c r="K228" t="n">
        <f>IF(7&lt;=Paramètres!$B$9,MAX(0,IFERROR(N(IF(ISNUMBER(Charges!L228),MAX(0,Charges!L228),IFERROR(VLOOKUP(Charges!L228,Paramètres!$A$15:$B$18,2,FALSE),0))),0)),0)</f>
        <v>0</v>
      </c>
      <c r="L228" t="n">
        <f>IF(8&lt;=Paramètres!$B$9,MAX(0,IFERROR(N(IF(ISNUMBER(Charges!M228),MAX(0,Charges!M228),IFERROR(VLOOKUP(Charges!M228,Paramètres!$A$15:$B$18,2,FALSE),0))),0)),0)</f>
        <v>0</v>
      </c>
      <c r="M228" t="n">
        <f>IF(9&lt;=Paramètres!$B$9,MAX(0,IFERROR(N(IF(ISNUMBER(Charges!N228),MAX(0,Charges!N228),IFERROR(VLOOKUP(Charges!N228,Paramètres!$A$15:$B$18,2,FALSE),0))),0)),0)</f>
        <v>0</v>
      </c>
      <c r="N228" t="n">
        <f>IF(10&lt;=Paramètres!$B$9,MAX(0,IFERROR(N(IF(ISNUMBER(Charges!O228),MAX(0,Charges!O228),IFERROR(VLOOKUP(Charges!O228,Paramètres!$A$15:$B$18,2,FALSE),0))),0)),0)</f>
        <v>0</v>
      </c>
      <c r="O228" t="n">
        <f>IF(11&lt;=Paramètres!$B$9,MAX(0,IFERROR(N(IF(ISNUMBER(Charges!P228),MAX(0,Charges!P228),IFERROR(VLOOKUP(Charges!P228,Paramètres!$A$15:$B$18,2,FALSE),0))),0)),0)</f>
        <v>0</v>
      </c>
      <c r="P228" t="n">
        <f>IF(12&lt;=Paramètres!$B$9,MAX(0,IFERROR(N(IF(ISNUMBER(Charges!Q228),MAX(0,Charges!Q228),IFERROR(VLOOKUP(Charges!Q228,Paramètres!$A$15:$B$18,2,FALSE),0))),0)),0)</f>
        <v>0</v>
      </c>
      <c r="Q228" t="n">
        <f>IF(13&lt;=Paramètres!$B$9,MAX(0,IFERROR(N(IF(ISNUMBER(Charges!R228),MAX(0,Charges!R228),IFERROR(VLOOKUP(Charges!R228,Paramètres!$A$15:$B$18,2,FALSE),0))),0)),0)</f>
        <v>0</v>
      </c>
      <c r="R228" t="n">
        <f>SUM(E228:Q228)</f>
        <v>0</v>
      </c>
      <c r="S228" t="n">
        <f>IF(IFERROR(VLOOKUP(A228,'Projets'!$A$8:$Z$67,7,FALSE),"")="Engager",1,0)</f>
        <v>0</v>
      </c>
      <c r="T228" t="n">
        <f>IF(OR(Charges!F228="",AND(ISNUMBER(Charges!F228),Charges!F228&gt;=0),Charges!F228="S",Charges!F228="M",Charges!F228="L",Charges!F228="XL"),0,1)+IF(OR(Charges!G228="",AND(ISNUMBER(Charges!G228),Charges!G228&gt;=0),Charges!G228="S",Charges!G228="M",Charges!G228="L",Charges!G228="XL"),0,1)+IF(OR(Charges!H228="",AND(ISNUMBER(Charges!H228),Charges!H228&gt;=0),Charges!H228="S",Charges!H228="M",Charges!H228="L",Charges!H228="XL"),0,1)+IF(OR(Charges!I228="",AND(ISNUMBER(Charges!I228),Charges!I228&gt;=0),Charges!I228="S",Charges!I228="M",Charges!I228="L",Charges!I228="XL"),0,1)+IF(OR(Charges!J228="",AND(ISNUMBER(Charges!J228),Charges!J228&gt;=0),Charges!J228="S",Charges!J228="M",Charges!J228="L",Charges!J228="XL"),0,1)+IF(OR(Charges!K228="",AND(ISNUMBER(Charges!K228),Charges!K228&gt;=0),Charges!K228="S",Charges!K228="M",Charges!K228="L",Charges!K228="XL"),0,1)+IF(OR(Charges!L228="",AND(ISNUMBER(Charges!L228),Charges!L228&gt;=0),Charges!L228="S",Charges!L228="M",Charges!L228="L",Charges!L228="XL"),0,1)+IF(OR(Charges!M228="",AND(ISNUMBER(Charges!M228),Charges!M228&gt;=0),Charges!M228="S",Charges!M228="M",Charges!M228="L",Charges!M228="XL"),0,1)+IF(OR(Charges!N228="",AND(ISNUMBER(Charges!N228),Charges!N228&gt;=0),Charges!N228="S",Charges!N228="M",Charges!N228="L",Charges!N228="XL"),0,1)+IF(OR(Charges!O228="",AND(ISNUMBER(Charges!O228),Charges!O228&gt;=0),Charges!O228="S",Charges!O228="M",Charges!O228="L",Charges!O228="XL"),0,1)+IF(OR(Charges!P228="",AND(ISNUMBER(Charges!P228),Charges!P228&gt;=0),Charges!P228="S",Charges!P228="M",Charges!P228="L",Charges!P228="XL"),0,1)+IF(OR(Charges!Q228="",AND(ISNUMBER(Charges!Q228),Charges!Q228&gt;=0),Charges!Q228="S",Charges!Q228="M",Charges!Q228="L",Charges!Q228="XL"),0,1)+IF(OR(Charges!R228="",AND(ISNUMBER(Charges!R228),Charges!R228&gt;=0),Charges!R228="S",Charges!R228="M",Charges!R228="L",Charges!R228="XL"),0,1)</f>
        <v>0</v>
      </c>
      <c r="U228" t="n">
        <f>IF(AND(1&gt;Paramètres!$B$9,Charges!F228&lt;&gt;"",Charges!F228&lt;&gt;0),1,0)+IF(AND(2&gt;Paramètres!$B$9,Charges!G228&lt;&gt;"",Charges!G228&lt;&gt;0),1,0)+IF(AND(3&gt;Paramètres!$B$9,Charges!H228&lt;&gt;"",Charges!H228&lt;&gt;0),1,0)+IF(AND(4&gt;Paramètres!$B$9,Charges!I228&lt;&gt;"",Charges!I228&lt;&gt;0),1,0)+IF(AND(5&gt;Paramètres!$B$9,Charges!J228&lt;&gt;"",Charges!J228&lt;&gt;0),1,0)+IF(AND(6&gt;Paramètres!$B$9,Charges!K228&lt;&gt;"",Charges!K228&lt;&gt;0),1,0)+IF(AND(7&gt;Paramètres!$B$9,Charges!L228&lt;&gt;"",Charges!L228&lt;&gt;0),1,0)+IF(AND(8&gt;Paramètres!$B$9,Charges!M228&lt;&gt;"",Charges!M228&lt;&gt;0),1,0)+IF(AND(9&gt;Paramètres!$B$9,Charges!N228&lt;&gt;"",Charges!N228&lt;&gt;0),1,0)+IF(AND(10&gt;Paramètres!$B$9,Charges!O228&lt;&gt;"",Charges!O228&lt;&gt;0),1,0)+IF(AND(11&gt;Paramètres!$B$9,Charges!P228&lt;&gt;"",Charges!P228&lt;&gt;0),1,0)+IF(AND(12&gt;Paramètres!$B$9,Charges!Q228&lt;&gt;"",Charges!Q228&lt;&gt;0),1,0)+IF(AND(13&gt;Paramètres!$B$9,Charges!R228&lt;&gt;"",Charges!R228&lt;&gt;0),1,0)</f>
        <v>0</v>
      </c>
      <c r="V228" t="n">
        <f>IF(IFERROR(VLOOKUP(A228,'Projets'!$A$8:$Z$67,5,FALSE),"")="Engager",1,0)</f>
        <v>0</v>
      </c>
      <c r="W228" t="n">
        <f>IF(IFERROR(VLOOKUP(A228,'Projets'!$A$8:$Z$67,6,FALSE),"")="Engager",1,0)</f>
        <v>0</v>
      </c>
      <c r="X228" t="n">
        <f>E228*S228</f>
        <v>0</v>
      </c>
      <c r="Y228" t="n">
        <f>F228*S228</f>
        <v>0</v>
      </c>
      <c r="Z228" t="n">
        <f>G228*S228</f>
        <v>0</v>
      </c>
      <c r="AA228" t="n">
        <f>H228*S228</f>
        <v>0</v>
      </c>
      <c r="AB228" t="n">
        <f>I228*S228</f>
        <v>0</v>
      </c>
      <c r="AC228" t="n">
        <f>J228*S228</f>
        <v>0</v>
      </c>
      <c r="AD228" t="n">
        <f>K228*S228</f>
        <v>0</v>
      </c>
      <c r="AE228" t="n">
        <f>L228*S228</f>
        <v>0</v>
      </c>
      <c r="AF228" t="n">
        <f>M228*S228</f>
        <v>0</v>
      </c>
      <c r="AG228" t="n">
        <f>N228*S228</f>
        <v>0</v>
      </c>
      <c r="AH228" t="n">
        <f>O228*S228</f>
        <v>0</v>
      </c>
      <c r="AI228" t="n">
        <f>P228*S228</f>
        <v>0</v>
      </c>
      <c r="AJ228" t="n">
        <f>Q228*S228</f>
        <v>0</v>
      </c>
      <c r="AK228" t="n">
        <f>E228*V228</f>
        <v>0</v>
      </c>
      <c r="AL228" t="n">
        <f>F228*V228</f>
        <v>0</v>
      </c>
      <c r="AM228" t="n">
        <f>G228*V228</f>
        <v>0</v>
      </c>
      <c r="AN228" t="n">
        <f>H228*V228</f>
        <v>0</v>
      </c>
      <c r="AO228" t="n">
        <f>I228*V228</f>
        <v>0</v>
      </c>
      <c r="AP228" t="n">
        <f>J228*V228</f>
        <v>0</v>
      </c>
      <c r="AQ228" t="n">
        <f>K228*V228</f>
        <v>0</v>
      </c>
      <c r="AR228" t="n">
        <f>L228*V228</f>
        <v>0</v>
      </c>
      <c r="AS228" t="n">
        <f>M228*V228</f>
        <v>0</v>
      </c>
      <c r="AT228" t="n">
        <f>N228*V228</f>
        <v>0</v>
      </c>
      <c r="AU228" t="n">
        <f>O228*V228</f>
        <v>0</v>
      </c>
      <c r="AV228" t="n">
        <f>P228*V228</f>
        <v>0</v>
      </c>
      <c r="AW228" t="n">
        <f>Q228*V228</f>
        <v>0</v>
      </c>
      <c r="AX228" t="n">
        <f>E228*W228</f>
        <v>0</v>
      </c>
      <c r="AY228" t="n">
        <f>F228*W228</f>
        <v>0</v>
      </c>
      <c r="AZ228" t="n">
        <f>G228*W228</f>
        <v>0</v>
      </c>
      <c r="BA228" t="n">
        <f>H228*W228</f>
        <v>0</v>
      </c>
      <c r="BB228" t="n">
        <f>I228*W228</f>
        <v>0</v>
      </c>
      <c r="BC228" t="n">
        <f>J228*W228</f>
        <v>0</v>
      </c>
      <c r="BD228" t="n">
        <f>K228*W228</f>
        <v>0</v>
      </c>
      <c r="BE228" t="n">
        <f>L228*W228</f>
        <v>0</v>
      </c>
      <c r="BF228" t="n">
        <f>M228*W228</f>
        <v>0</v>
      </c>
      <c r="BG228" t="n">
        <f>N228*W228</f>
        <v>0</v>
      </c>
      <c r="BH228" t="n">
        <f>O228*W228</f>
        <v>0</v>
      </c>
      <c r="BI228" t="n">
        <f>P228*W228</f>
        <v>0</v>
      </c>
      <c r="BJ228" t="n">
        <f>Q228*W228</f>
        <v>0</v>
      </c>
    </row>
    <row r="229">
      <c r="A229" t="n">
        <f>Charges!A229</f>
        <v>0</v>
      </c>
      <c r="B229" t="n">
        <f>Charges!C229</f>
        <v>0</v>
      </c>
      <c r="C229" t="str">
        <f>Charges!D229</f>
        <v/>
      </c>
      <c r="E229" t="n">
        <f>IF(1&lt;=Paramètres!$B$9,MAX(0,IFERROR(N(IF(ISNUMBER(Charges!F229),MAX(0,Charges!F229),IFERROR(VLOOKUP(Charges!F229,Paramètres!$A$15:$B$18,2,FALSE),0))),0)),0)</f>
        <v>0</v>
      </c>
      <c r="F229" t="n">
        <f>IF(2&lt;=Paramètres!$B$9,MAX(0,IFERROR(N(IF(ISNUMBER(Charges!G229),MAX(0,Charges!G229),IFERROR(VLOOKUP(Charges!G229,Paramètres!$A$15:$B$18,2,FALSE),0))),0)),0)</f>
        <v>0</v>
      </c>
      <c r="G229" t="n">
        <f>IF(3&lt;=Paramètres!$B$9,MAX(0,IFERROR(N(IF(ISNUMBER(Charges!H229),MAX(0,Charges!H229),IFERROR(VLOOKUP(Charges!H229,Paramètres!$A$15:$B$18,2,FALSE),0))),0)),0)</f>
        <v>0</v>
      </c>
      <c r="H229" t="n">
        <f>IF(4&lt;=Paramètres!$B$9,MAX(0,IFERROR(N(IF(ISNUMBER(Charges!I229),MAX(0,Charges!I229),IFERROR(VLOOKUP(Charges!I229,Paramètres!$A$15:$B$18,2,FALSE),0))),0)),0)</f>
        <v>0</v>
      </c>
      <c r="I229" t="n">
        <f>IF(5&lt;=Paramètres!$B$9,MAX(0,IFERROR(N(IF(ISNUMBER(Charges!J229),MAX(0,Charges!J229),IFERROR(VLOOKUP(Charges!J229,Paramètres!$A$15:$B$18,2,FALSE),0))),0)),0)</f>
        <v>0</v>
      </c>
      <c r="J229" t="n">
        <f>IF(6&lt;=Paramètres!$B$9,MAX(0,IFERROR(N(IF(ISNUMBER(Charges!K229),MAX(0,Charges!K229),IFERROR(VLOOKUP(Charges!K229,Paramètres!$A$15:$B$18,2,FALSE),0))),0)),0)</f>
        <v>0</v>
      </c>
      <c r="K229" t="n">
        <f>IF(7&lt;=Paramètres!$B$9,MAX(0,IFERROR(N(IF(ISNUMBER(Charges!L229),MAX(0,Charges!L229),IFERROR(VLOOKUP(Charges!L229,Paramètres!$A$15:$B$18,2,FALSE),0))),0)),0)</f>
        <v>0</v>
      </c>
      <c r="L229" t="n">
        <f>IF(8&lt;=Paramètres!$B$9,MAX(0,IFERROR(N(IF(ISNUMBER(Charges!M229),MAX(0,Charges!M229),IFERROR(VLOOKUP(Charges!M229,Paramètres!$A$15:$B$18,2,FALSE),0))),0)),0)</f>
        <v>0</v>
      </c>
      <c r="M229" t="n">
        <f>IF(9&lt;=Paramètres!$B$9,MAX(0,IFERROR(N(IF(ISNUMBER(Charges!N229),MAX(0,Charges!N229),IFERROR(VLOOKUP(Charges!N229,Paramètres!$A$15:$B$18,2,FALSE),0))),0)),0)</f>
        <v>0</v>
      </c>
      <c r="N229" t="n">
        <f>IF(10&lt;=Paramètres!$B$9,MAX(0,IFERROR(N(IF(ISNUMBER(Charges!O229),MAX(0,Charges!O229),IFERROR(VLOOKUP(Charges!O229,Paramètres!$A$15:$B$18,2,FALSE),0))),0)),0)</f>
        <v>0</v>
      </c>
      <c r="O229" t="n">
        <f>IF(11&lt;=Paramètres!$B$9,MAX(0,IFERROR(N(IF(ISNUMBER(Charges!P229),MAX(0,Charges!P229),IFERROR(VLOOKUP(Charges!P229,Paramètres!$A$15:$B$18,2,FALSE),0))),0)),0)</f>
        <v>0</v>
      </c>
      <c r="P229" t="n">
        <f>IF(12&lt;=Paramètres!$B$9,MAX(0,IFERROR(N(IF(ISNUMBER(Charges!Q229),MAX(0,Charges!Q229),IFERROR(VLOOKUP(Charges!Q229,Paramètres!$A$15:$B$18,2,FALSE),0))),0)),0)</f>
        <v>0</v>
      </c>
      <c r="Q229" t="n">
        <f>IF(13&lt;=Paramètres!$B$9,MAX(0,IFERROR(N(IF(ISNUMBER(Charges!R229),MAX(0,Charges!R229),IFERROR(VLOOKUP(Charges!R229,Paramètres!$A$15:$B$18,2,FALSE),0))),0)),0)</f>
        <v>0</v>
      </c>
      <c r="R229" t="n">
        <f>SUM(E229:Q229)</f>
        <v>0</v>
      </c>
      <c r="S229" t="n">
        <f>IF(IFERROR(VLOOKUP(A229,'Projets'!$A$8:$Z$67,7,FALSE),"")="Engager",1,0)</f>
        <v>0</v>
      </c>
      <c r="T229" t="n">
        <f>IF(OR(Charges!F229="",AND(ISNUMBER(Charges!F229),Charges!F229&gt;=0),Charges!F229="S",Charges!F229="M",Charges!F229="L",Charges!F229="XL"),0,1)+IF(OR(Charges!G229="",AND(ISNUMBER(Charges!G229),Charges!G229&gt;=0),Charges!G229="S",Charges!G229="M",Charges!G229="L",Charges!G229="XL"),0,1)+IF(OR(Charges!H229="",AND(ISNUMBER(Charges!H229),Charges!H229&gt;=0),Charges!H229="S",Charges!H229="M",Charges!H229="L",Charges!H229="XL"),0,1)+IF(OR(Charges!I229="",AND(ISNUMBER(Charges!I229),Charges!I229&gt;=0),Charges!I229="S",Charges!I229="M",Charges!I229="L",Charges!I229="XL"),0,1)+IF(OR(Charges!J229="",AND(ISNUMBER(Charges!J229),Charges!J229&gt;=0),Charges!J229="S",Charges!J229="M",Charges!J229="L",Charges!J229="XL"),0,1)+IF(OR(Charges!K229="",AND(ISNUMBER(Charges!K229),Charges!K229&gt;=0),Charges!K229="S",Charges!K229="M",Charges!K229="L",Charges!K229="XL"),0,1)+IF(OR(Charges!L229="",AND(ISNUMBER(Charges!L229),Charges!L229&gt;=0),Charges!L229="S",Charges!L229="M",Charges!L229="L",Charges!L229="XL"),0,1)+IF(OR(Charges!M229="",AND(ISNUMBER(Charges!M229),Charges!M229&gt;=0),Charges!M229="S",Charges!M229="M",Charges!M229="L",Charges!M229="XL"),0,1)+IF(OR(Charges!N229="",AND(ISNUMBER(Charges!N229),Charges!N229&gt;=0),Charges!N229="S",Charges!N229="M",Charges!N229="L",Charges!N229="XL"),0,1)+IF(OR(Charges!O229="",AND(ISNUMBER(Charges!O229),Charges!O229&gt;=0),Charges!O229="S",Charges!O229="M",Charges!O229="L",Charges!O229="XL"),0,1)+IF(OR(Charges!P229="",AND(ISNUMBER(Charges!P229),Charges!P229&gt;=0),Charges!P229="S",Charges!P229="M",Charges!P229="L",Charges!P229="XL"),0,1)+IF(OR(Charges!Q229="",AND(ISNUMBER(Charges!Q229),Charges!Q229&gt;=0),Charges!Q229="S",Charges!Q229="M",Charges!Q229="L",Charges!Q229="XL"),0,1)+IF(OR(Charges!R229="",AND(ISNUMBER(Charges!R229),Charges!R229&gt;=0),Charges!R229="S",Charges!R229="M",Charges!R229="L",Charges!R229="XL"),0,1)</f>
        <v>0</v>
      </c>
      <c r="U229" t="n">
        <f>IF(AND(1&gt;Paramètres!$B$9,Charges!F229&lt;&gt;"",Charges!F229&lt;&gt;0),1,0)+IF(AND(2&gt;Paramètres!$B$9,Charges!G229&lt;&gt;"",Charges!G229&lt;&gt;0),1,0)+IF(AND(3&gt;Paramètres!$B$9,Charges!H229&lt;&gt;"",Charges!H229&lt;&gt;0),1,0)+IF(AND(4&gt;Paramètres!$B$9,Charges!I229&lt;&gt;"",Charges!I229&lt;&gt;0),1,0)+IF(AND(5&gt;Paramètres!$B$9,Charges!J229&lt;&gt;"",Charges!J229&lt;&gt;0),1,0)+IF(AND(6&gt;Paramètres!$B$9,Charges!K229&lt;&gt;"",Charges!K229&lt;&gt;0),1,0)+IF(AND(7&gt;Paramètres!$B$9,Charges!L229&lt;&gt;"",Charges!L229&lt;&gt;0),1,0)+IF(AND(8&gt;Paramètres!$B$9,Charges!M229&lt;&gt;"",Charges!M229&lt;&gt;0),1,0)+IF(AND(9&gt;Paramètres!$B$9,Charges!N229&lt;&gt;"",Charges!N229&lt;&gt;0),1,0)+IF(AND(10&gt;Paramètres!$B$9,Charges!O229&lt;&gt;"",Charges!O229&lt;&gt;0),1,0)+IF(AND(11&gt;Paramètres!$B$9,Charges!P229&lt;&gt;"",Charges!P229&lt;&gt;0),1,0)+IF(AND(12&gt;Paramètres!$B$9,Charges!Q229&lt;&gt;"",Charges!Q229&lt;&gt;0),1,0)+IF(AND(13&gt;Paramètres!$B$9,Charges!R229&lt;&gt;"",Charges!R229&lt;&gt;0),1,0)</f>
        <v>0</v>
      </c>
      <c r="V229" t="n">
        <f>IF(IFERROR(VLOOKUP(A229,'Projets'!$A$8:$Z$67,5,FALSE),"")="Engager",1,0)</f>
        <v>0</v>
      </c>
      <c r="W229" t="n">
        <f>IF(IFERROR(VLOOKUP(A229,'Projets'!$A$8:$Z$67,6,FALSE),"")="Engager",1,0)</f>
        <v>0</v>
      </c>
      <c r="X229" t="n">
        <f>E229*S229</f>
        <v>0</v>
      </c>
      <c r="Y229" t="n">
        <f>F229*S229</f>
        <v>0</v>
      </c>
      <c r="Z229" t="n">
        <f>G229*S229</f>
        <v>0</v>
      </c>
      <c r="AA229" t="n">
        <f>H229*S229</f>
        <v>0</v>
      </c>
      <c r="AB229" t="n">
        <f>I229*S229</f>
        <v>0</v>
      </c>
      <c r="AC229" t="n">
        <f>J229*S229</f>
        <v>0</v>
      </c>
      <c r="AD229" t="n">
        <f>K229*S229</f>
        <v>0</v>
      </c>
      <c r="AE229" t="n">
        <f>L229*S229</f>
        <v>0</v>
      </c>
      <c r="AF229" t="n">
        <f>M229*S229</f>
        <v>0</v>
      </c>
      <c r="AG229" t="n">
        <f>N229*S229</f>
        <v>0</v>
      </c>
      <c r="AH229" t="n">
        <f>O229*S229</f>
        <v>0</v>
      </c>
      <c r="AI229" t="n">
        <f>P229*S229</f>
        <v>0</v>
      </c>
      <c r="AJ229" t="n">
        <f>Q229*S229</f>
        <v>0</v>
      </c>
      <c r="AK229" t="n">
        <f>E229*V229</f>
        <v>0</v>
      </c>
      <c r="AL229" t="n">
        <f>F229*V229</f>
        <v>0</v>
      </c>
      <c r="AM229" t="n">
        <f>G229*V229</f>
        <v>0</v>
      </c>
      <c r="AN229" t="n">
        <f>H229*V229</f>
        <v>0</v>
      </c>
      <c r="AO229" t="n">
        <f>I229*V229</f>
        <v>0</v>
      </c>
      <c r="AP229" t="n">
        <f>J229*V229</f>
        <v>0</v>
      </c>
      <c r="AQ229" t="n">
        <f>K229*V229</f>
        <v>0</v>
      </c>
      <c r="AR229" t="n">
        <f>L229*V229</f>
        <v>0</v>
      </c>
      <c r="AS229" t="n">
        <f>M229*V229</f>
        <v>0</v>
      </c>
      <c r="AT229" t="n">
        <f>N229*V229</f>
        <v>0</v>
      </c>
      <c r="AU229" t="n">
        <f>O229*V229</f>
        <v>0</v>
      </c>
      <c r="AV229" t="n">
        <f>P229*V229</f>
        <v>0</v>
      </c>
      <c r="AW229" t="n">
        <f>Q229*V229</f>
        <v>0</v>
      </c>
      <c r="AX229" t="n">
        <f>E229*W229</f>
        <v>0</v>
      </c>
      <c r="AY229" t="n">
        <f>F229*W229</f>
        <v>0</v>
      </c>
      <c r="AZ229" t="n">
        <f>G229*W229</f>
        <v>0</v>
      </c>
      <c r="BA229" t="n">
        <f>H229*W229</f>
        <v>0</v>
      </c>
      <c r="BB229" t="n">
        <f>I229*W229</f>
        <v>0</v>
      </c>
      <c r="BC229" t="n">
        <f>J229*W229</f>
        <v>0</v>
      </c>
      <c r="BD229" t="n">
        <f>K229*W229</f>
        <v>0</v>
      </c>
      <c r="BE229" t="n">
        <f>L229*W229</f>
        <v>0</v>
      </c>
      <c r="BF229" t="n">
        <f>M229*W229</f>
        <v>0</v>
      </c>
      <c r="BG229" t="n">
        <f>N229*W229</f>
        <v>0</v>
      </c>
      <c r="BH229" t="n">
        <f>O229*W229</f>
        <v>0</v>
      </c>
      <c r="BI229" t="n">
        <f>P229*W229</f>
        <v>0</v>
      </c>
      <c r="BJ229" t="n">
        <f>Q229*W229</f>
        <v>0</v>
      </c>
    </row>
    <row r="230">
      <c r="A230" t="n">
        <f>Charges!A230</f>
        <v>0</v>
      </c>
      <c r="B230" t="n">
        <f>Charges!C230</f>
        <v>0</v>
      </c>
      <c r="C230" t="str">
        <f>Charges!D230</f>
        <v/>
      </c>
      <c r="E230" t="n">
        <f>IF(1&lt;=Paramètres!$B$9,MAX(0,IFERROR(N(IF(ISNUMBER(Charges!F230),MAX(0,Charges!F230),IFERROR(VLOOKUP(Charges!F230,Paramètres!$A$15:$B$18,2,FALSE),0))),0)),0)</f>
        <v>0</v>
      </c>
      <c r="F230" t="n">
        <f>IF(2&lt;=Paramètres!$B$9,MAX(0,IFERROR(N(IF(ISNUMBER(Charges!G230),MAX(0,Charges!G230),IFERROR(VLOOKUP(Charges!G230,Paramètres!$A$15:$B$18,2,FALSE),0))),0)),0)</f>
        <v>0</v>
      </c>
      <c r="G230" t="n">
        <f>IF(3&lt;=Paramètres!$B$9,MAX(0,IFERROR(N(IF(ISNUMBER(Charges!H230),MAX(0,Charges!H230),IFERROR(VLOOKUP(Charges!H230,Paramètres!$A$15:$B$18,2,FALSE),0))),0)),0)</f>
        <v>0</v>
      </c>
      <c r="H230" t="n">
        <f>IF(4&lt;=Paramètres!$B$9,MAX(0,IFERROR(N(IF(ISNUMBER(Charges!I230),MAX(0,Charges!I230),IFERROR(VLOOKUP(Charges!I230,Paramètres!$A$15:$B$18,2,FALSE),0))),0)),0)</f>
        <v>0</v>
      </c>
      <c r="I230" t="n">
        <f>IF(5&lt;=Paramètres!$B$9,MAX(0,IFERROR(N(IF(ISNUMBER(Charges!J230),MAX(0,Charges!J230),IFERROR(VLOOKUP(Charges!J230,Paramètres!$A$15:$B$18,2,FALSE),0))),0)),0)</f>
        <v>0</v>
      </c>
      <c r="J230" t="n">
        <f>IF(6&lt;=Paramètres!$B$9,MAX(0,IFERROR(N(IF(ISNUMBER(Charges!K230),MAX(0,Charges!K230),IFERROR(VLOOKUP(Charges!K230,Paramètres!$A$15:$B$18,2,FALSE),0))),0)),0)</f>
        <v>0</v>
      </c>
      <c r="K230" t="n">
        <f>IF(7&lt;=Paramètres!$B$9,MAX(0,IFERROR(N(IF(ISNUMBER(Charges!L230),MAX(0,Charges!L230),IFERROR(VLOOKUP(Charges!L230,Paramètres!$A$15:$B$18,2,FALSE),0))),0)),0)</f>
        <v>0</v>
      </c>
      <c r="L230" t="n">
        <f>IF(8&lt;=Paramètres!$B$9,MAX(0,IFERROR(N(IF(ISNUMBER(Charges!M230),MAX(0,Charges!M230),IFERROR(VLOOKUP(Charges!M230,Paramètres!$A$15:$B$18,2,FALSE),0))),0)),0)</f>
        <v>0</v>
      </c>
      <c r="M230" t="n">
        <f>IF(9&lt;=Paramètres!$B$9,MAX(0,IFERROR(N(IF(ISNUMBER(Charges!N230),MAX(0,Charges!N230),IFERROR(VLOOKUP(Charges!N230,Paramètres!$A$15:$B$18,2,FALSE),0))),0)),0)</f>
        <v>0</v>
      </c>
      <c r="N230" t="n">
        <f>IF(10&lt;=Paramètres!$B$9,MAX(0,IFERROR(N(IF(ISNUMBER(Charges!O230),MAX(0,Charges!O230),IFERROR(VLOOKUP(Charges!O230,Paramètres!$A$15:$B$18,2,FALSE),0))),0)),0)</f>
        <v>0</v>
      </c>
      <c r="O230" t="n">
        <f>IF(11&lt;=Paramètres!$B$9,MAX(0,IFERROR(N(IF(ISNUMBER(Charges!P230),MAX(0,Charges!P230),IFERROR(VLOOKUP(Charges!P230,Paramètres!$A$15:$B$18,2,FALSE),0))),0)),0)</f>
        <v>0</v>
      </c>
      <c r="P230" t="n">
        <f>IF(12&lt;=Paramètres!$B$9,MAX(0,IFERROR(N(IF(ISNUMBER(Charges!Q230),MAX(0,Charges!Q230),IFERROR(VLOOKUP(Charges!Q230,Paramètres!$A$15:$B$18,2,FALSE),0))),0)),0)</f>
        <v>0</v>
      </c>
      <c r="Q230" t="n">
        <f>IF(13&lt;=Paramètres!$B$9,MAX(0,IFERROR(N(IF(ISNUMBER(Charges!R230),MAX(0,Charges!R230),IFERROR(VLOOKUP(Charges!R230,Paramètres!$A$15:$B$18,2,FALSE),0))),0)),0)</f>
        <v>0</v>
      </c>
      <c r="R230" t="n">
        <f>SUM(E230:Q230)</f>
        <v>0</v>
      </c>
      <c r="S230" t="n">
        <f>IF(IFERROR(VLOOKUP(A230,'Projets'!$A$8:$Z$67,7,FALSE),"")="Engager",1,0)</f>
        <v>0</v>
      </c>
      <c r="T230" t="n">
        <f>IF(OR(Charges!F230="",AND(ISNUMBER(Charges!F230),Charges!F230&gt;=0),Charges!F230="S",Charges!F230="M",Charges!F230="L",Charges!F230="XL"),0,1)+IF(OR(Charges!G230="",AND(ISNUMBER(Charges!G230),Charges!G230&gt;=0),Charges!G230="S",Charges!G230="M",Charges!G230="L",Charges!G230="XL"),0,1)+IF(OR(Charges!H230="",AND(ISNUMBER(Charges!H230),Charges!H230&gt;=0),Charges!H230="S",Charges!H230="M",Charges!H230="L",Charges!H230="XL"),0,1)+IF(OR(Charges!I230="",AND(ISNUMBER(Charges!I230),Charges!I230&gt;=0),Charges!I230="S",Charges!I230="M",Charges!I230="L",Charges!I230="XL"),0,1)+IF(OR(Charges!J230="",AND(ISNUMBER(Charges!J230),Charges!J230&gt;=0),Charges!J230="S",Charges!J230="M",Charges!J230="L",Charges!J230="XL"),0,1)+IF(OR(Charges!K230="",AND(ISNUMBER(Charges!K230),Charges!K230&gt;=0),Charges!K230="S",Charges!K230="M",Charges!K230="L",Charges!K230="XL"),0,1)+IF(OR(Charges!L230="",AND(ISNUMBER(Charges!L230),Charges!L230&gt;=0),Charges!L230="S",Charges!L230="M",Charges!L230="L",Charges!L230="XL"),0,1)+IF(OR(Charges!M230="",AND(ISNUMBER(Charges!M230),Charges!M230&gt;=0),Charges!M230="S",Charges!M230="M",Charges!M230="L",Charges!M230="XL"),0,1)+IF(OR(Charges!N230="",AND(ISNUMBER(Charges!N230),Charges!N230&gt;=0),Charges!N230="S",Charges!N230="M",Charges!N230="L",Charges!N230="XL"),0,1)+IF(OR(Charges!O230="",AND(ISNUMBER(Charges!O230),Charges!O230&gt;=0),Charges!O230="S",Charges!O230="M",Charges!O230="L",Charges!O230="XL"),0,1)+IF(OR(Charges!P230="",AND(ISNUMBER(Charges!P230),Charges!P230&gt;=0),Charges!P230="S",Charges!P230="M",Charges!P230="L",Charges!P230="XL"),0,1)+IF(OR(Charges!Q230="",AND(ISNUMBER(Charges!Q230),Charges!Q230&gt;=0),Charges!Q230="S",Charges!Q230="M",Charges!Q230="L",Charges!Q230="XL"),0,1)+IF(OR(Charges!R230="",AND(ISNUMBER(Charges!R230),Charges!R230&gt;=0),Charges!R230="S",Charges!R230="M",Charges!R230="L",Charges!R230="XL"),0,1)</f>
        <v>0</v>
      </c>
      <c r="U230" t="n">
        <f>IF(AND(1&gt;Paramètres!$B$9,Charges!F230&lt;&gt;"",Charges!F230&lt;&gt;0),1,0)+IF(AND(2&gt;Paramètres!$B$9,Charges!G230&lt;&gt;"",Charges!G230&lt;&gt;0),1,0)+IF(AND(3&gt;Paramètres!$B$9,Charges!H230&lt;&gt;"",Charges!H230&lt;&gt;0),1,0)+IF(AND(4&gt;Paramètres!$B$9,Charges!I230&lt;&gt;"",Charges!I230&lt;&gt;0),1,0)+IF(AND(5&gt;Paramètres!$B$9,Charges!J230&lt;&gt;"",Charges!J230&lt;&gt;0),1,0)+IF(AND(6&gt;Paramètres!$B$9,Charges!K230&lt;&gt;"",Charges!K230&lt;&gt;0),1,0)+IF(AND(7&gt;Paramètres!$B$9,Charges!L230&lt;&gt;"",Charges!L230&lt;&gt;0),1,0)+IF(AND(8&gt;Paramètres!$B$9,Charges!M230&lt;&gt;"",Charges!M230&lt;&gt;0),1,0)+IF(AND(9&gt;Paramètres!$B$9,Charges!N230&lt;&gt;"",Charges!N230&lt;&gt;0),1,0)+IF(AND(10&gt;Paramètres!$B$9,Charges!O230&lt;&gt;"",Charges!O230&lt;&gt;0),1,0)+IF(AND(11&gt;Paramètres!$B$9,Charges!P230&lt;&gt;"",Charges!P230&lt;&gt;0),1,0)+IF(AND(12&gt;Paramètres!$B$9,Charges!Q230&lt;&gt;"",Charges!Q230&lt;&gt;0),1,0)+IF(AND(13&gt;Paramètres!$B$9,Charges!R230&lt;&gt;"",Charges!R230&lt;&gt;0),1,0)</f>
        <v>0</v>
      </c>
      <c r="V230" t="n">
        <f>IF(IFERROR(VLOOKUP(A230,'Projets'!$A$8:$Z$67,5,FALSE),"")="Engager",1,0)</f>
        <v>0</v>
      </c>
      <c r="W230" t="n">
        <f>IF(IFERROR(VLOOKUP(A230,'Projets'!$A$8:$Z$67,6,FALSE),"")="Engager",1,0)</f>
        <v>0</v>
      </c>
      <c r="X230" t="n">
        <f>E230*S230</f>
        <v>0</v>
      </c>
      <c r="Y230" t="n">
        <f>F230*S230</f>
        <v>0</v>
      </c>
      <c r="Z230" t="n">
        <f>G230*S230</f>
        <v>0</v>
      </c>
      <c r="AA230" t="n">
        <f>H230*S230</f>
        <v>0</v>
      </c>
      <c r="AB230" t="n">
        <f>I230*S230</f>
        <v>0</v>
      </c>
      <c r="AC230" t="n">
        <f>J230*S230</f>
        <v>0</v>
      </c>
      <c r="AD230" t="n">
        <f>K230*S230</f>
        <v>0</v>
      </c>
      <c r="AE230" t="n">
        <f>L230*S230</f>
        <v>0</v>
      </c>
      <c r="AF230" t="n">
        <f>M230*S230</f>
        <v>0</v>
      </c>
      <c r="AG230" t="n">
        <f>N230*S230</f>
        <v>0</v>
      </c>
      <c r="AH230" t="n">
        <f>O230*S230</f>
        <v>0</v>
      </c>
      <c r="AI230" t="n">
        <f>P230*S230</f>
        <v>0</v>
      </c>
      <c r="AJ230" t="n">
        <f>Q230*S230</f>
        <v>0</v>
      </c>
      <c r="AK230" t="n">
        <f>E230*V230</f>
        <v>0</v>
      </c>
      <c r="AL230" t="n">
        <f>F230*V230</f>
        <v>0</v>
      </c>
      <c r="AM230" t="n">
        <f>G230*V230</f>
        <v>0</v>
      </c>
      <c r="AN230" t="n">
        <f>H230*V230</f>
        <v>0</v>
      </c>
      <c r="AO230" t="n">
        <f>I230*V230</f>
        <v>0</v>
      </c>
      <c r="AP230" t="n">
        <f>J230*V230</f>
        <v>0</v>
      </c>
      <c r="AQ230" t="n">
        <f>K230*V230</f>
        <v>0</v>
      </c>
      <c r="AR230" t="n">
        <f>L230*V230</f>
        <v>0</v>
      </c>
      <c r="AS230" t="n">
        <f>M230*V230</f>
        <v>0</v>
      </c>
      <c r="AT230" t="n">
        <f>N230*V230</f>
        <v>0</v>
      </c>
      <c r="AU230" t="n">
        <f>O230*V230</f>
        <v>0</v>
      </c>
      <c r="AV230" t="n">
        <f>P230*V230</f>
        <v>0</v>
      </c>
      <c r="AW230" t="n">
        <f>Q230*V230</f>
        <v>0</v>
      </c>
      <c r="AX230" t="n">
        <f>E230*W230</f>
        <v>0</v>
      </c>
      <c r="AY230" t="n">
        <f>F230*W230</f>
        <v>0</v>
      </c>
      <c r="AZ230" t="n">
        <f>G230*W230</f>
        <v>0</v>
      </c>
      <c r="BA230" t="n">
        <f>H230*W230</f>
        <v>0</v>
      </c>
      <c r="BB230" t="n">
        <f>I230*W230</f>
        <v>0</v>
      </c>
      <c r="BC230" t="n">
        <f>J230*W230</f>
        <v>0</v>
      </c>
      <c r="BD230" t="n">
        <f>K230*W230</f>
        <v>0</v>
      </c>
      <c r="BE230" t="n">
        <f>L230*W230</f>
        <v>0</v>
      </c>
      <c r="BF230" t="n">
        <f>M230*W230</f>
        <v>0</v>
      </c>
      <c r="BG230" t="n">
        <f>N230*W230</f>
        <v>0</v>
      </c>
      <c r="BH230" t="n">
        <f>O230*W230</f>
        <v>0</v>
      </c>
      <c r="BI230" t="n">
        <f>P230*W230</f>
        <v>0</v>
      </c>
      <c r="BJ230" t="n">
        <f>Q230*W230</f>
        <v>0</v>
      </c>
    </row>
    <row r="231">
      <c r="A231" t="n">
        <f>Charges!A231</f>
        <v>0</v>
      </c>
      <c r="B231" t="n">
        <f>Charges!C231</f>
        <v>0</v>
      </c>
      <c r="C231" t="str">
        <f>Charges!D231</f>
        <v/>
      </c>
      <c r="E231" t="n">
        <f>IF(1&lt;=Paramètres!$B$9,MAX(0,IFERROR(N(IF(ISNUMBER(Charges!F231),MAX(0,Charges!F231),IFERROR(VLOOKUP(Charges!F231,Paramètres!$A$15:$B$18,2,FALSE),0))),0)),0)</f>
        <v>0</v>
      </c>
      <c r="F231" t="n">
        <f>IF(2&lt;=Paramètres!$B$9,MAX(0,IFERROR(N(IF(ISNUMBER(Charges!G231),MAX(0,Charges!G231),IFERROR(VLOOKUP(Charges!G231,Paramètres!$A$15:$B$18,2,FALSE),0))),0)),0)</f>
        <v>0</v>
      </c>
      <c r="G231" t="n">
        <f>IF(3&lt;=Paramètres!$B$9,MAX(0,IFERROR(N(IF(ISNUMBER(Charges!H231),MAX(0,Charges!H231),IFERROR(VLOOKUP(Charges!H231,Paramètres!$A$15:$B$18,2,FALSE),0))),0)),0)</f>
        <v>0</v>
      </c>
      <c r="H231" t="n">
        <f>IF(4&lt;=Paramètres!$B$9,MAX(0,IFERROR(N(IF(ISNUMBER(Charges!I231),MAX(0,Charges!I231),IFERROR(VLOOKUP(Charges!I231,Paramètres!$A$15:$B$18,2,FALSE),0))),0)),0)</f>
        <v>0</v>
      </c>
      <c r="I231" t="n">
        <f>IF(5&lt;=Paramètres!$B$9,MAX(0,IFERROR(N(IF(ISNUMBER(Charges!J231),MAX(0,Charges!J231),IFERROR(VLOOKUP(Charges!J231,Paramètres!$A$15:$B$18,2,FALSE),0))),0)),0)</f>
        <v>0</v>
      </c>
      <c r="J231" t="n">
        <f>IF(6&lt;=Paramètres!$B$9,MAX(0,IFERROR(N(IF(ISNUMBER(Charges!K231),MAX(0,Charges!K231),IFERROR(VLOOKUP(Charges!K231,Paramètres!$A$15:$B$18,2,FALSE),0))),0)),0)</f>
        <v>0</v>
      </c>
      <c r="K231" t="n">
        <f>IF(7&lt;=Paramètres!$B$9,MAX(0,IFERROR(N(IF(ISNUMBER(Charges!L231),MAX(0,Charges!L231),IFERROR(VLOOKUP(Charges!L231,Paramètres!$A$15:$B$18,2,FALSE),0))),0)),0)</f>
        <v>0</v>
      </c>
      <c r="L231" t="n">
        <f>IF(8&lt;=Paramètres!$B$9,MAX(0,IFERROR(N(IF(ISNUMBER(Charges!M231),MAX(0,Charges!M231),IFERROR(VLOOKUP(Charges!M231,Paramètres!$A$15:$B$18,2,FALSE),0))),0)),0)</f>
        <v>0</v>
      </c>
      <c r="M231" t="n">
        <f>IF(9&lt;=Paramètres!$B$9,MAX(0,IFERROR(N(IF(ISNUMBER(Charges!N231),MAX(0,Charges!N231),IFERROR(VLOOKUP(Charges!N231,Paramètres!$A$15:$B$18,2,FALSE),0))),0)),0)</f>
        <v>0</v>
      </c>
      <c r="N231" t="n">
        <f>IF(10&lt;=Paramètres!$B$9,MAX(0,IFERROR(N(IF(ISNUMBER(Charges!O231),MAX(0,Charges!O231),IFERROR(VLOOKUP(Charges!O231,Paramètres!$A$15:$B$18,2,FALSE),0))),0)),0)</f>
        <v>0</v>
      </c>
      <c r="O231" t="n">
        <f>IF(11&lt;=Paramètres!$B$9,MAX(0,IFERROR(N(IF(ISNUMBER(Charges!P231),MAX(0,Charges!P231),IFERROR(VLOOKUP(Charges!P231,Paramètres!$A$15:$B$18,2,FALSE),0))),0)),0)</f>
        <v>0</v>
      </c>
      <c r="P231" t="n">
        <f>IF(12&lt;=Paramètres!$B$9,MAX(0,IFERROR(N(IF(ISNUMBER(Charges!Q231),MAX(0,Charges!Q231),IFERROR(VLOOKUP(Charges!Q231,Paramètres!$A$15:$B$18,2,FALSE),0))),0)),0)</f>
        <v>0</v>
      </c>
      <c r="Q231" t="n">
        <f>IF(13&lt;=Paramètres!$B$9,MAX(0,IFERROR(N(IF(ISNUMBER(Charges!R231),MAX(0,Charges!R231),IFERROR(VLOOKUP(Charges!R231,Paramètres!$A$15:$B$18,2,FALSE),0))),0)),0)</f>
        <v>0</v>
      </c>
      <c r="R231" t="n">
        <f>SUM(E231:Q231)</f>
        <v>0</v>
      </c>
      <c r="S231" t="n">
        <f>IF(IFERROR(VLOOKUP(A231,'Projets'!$A$8:$Z$67,7,FALSE),"")="Engager",1,0)</f>
        <v>0</v>
      </c>
      <c r="T231" t="n">
        <f>IF(OR(Charges!F231="",AND(ISNUMBER(Charges!F231),Charges!F231&gt;=0),Charges!F231="S",Charges!F231="M",Charges!F231="L",Charges!F231="XL"),0,1)+IF(OR(Charges!G231="",AND(ISNUMBER(Charges!G231),Charges!G231&gt;=0),Charges!G231="S",Charges!G231="M",Charges!G231="L",Charges!G231="XL"),0,1)+IF(OR(Charges!H231="",AND(ISNUMBER(Charges!H231),Charges!H231&gt;=0),Charges!H231="S",Charges!H231="M",Charges!H231="L",Charges!H231="XL"),0,1)+IF(OR(Charges!I231="",AND(ISNUMBER(Charges!I231),Charges!I231&gt;=0),Charges!I231="S",Charges!I231="M",Charges!I231="L",Charges!I231="XL"),0,1)+IF(OR(Charges!J231="",AND(ISNUMBER(Charges!J231),Charges!J231&gt;=0),Charges!J231="S",Charges!J231="M",Charges!J231="L",Charges!J231="XL"),0,1)+IF(OR(Charges!K231="",AND(ISNUMBER(Charges!K231),Charges!K231&gt;=0),Charges!K231="S",Charges!K231="M",Charges!K231="L",Charges!K231="XL"),0,1)+IF(OR(Charges!L231="",AND(ISNUMBER(Charges!L231),Charges!L231&gt;=0),Charges!L231="S",Charges!L231="M",Charges!L231="L",Charges!L231="XL"),0,1)+IF(OR(Charges!M231="",AND(ISNUMBER(Charges!M231),Charges!M231&gt;=0),Charges!M231="S",Charges!M231="M",Charges!M231="L",Charges!M231="XL"),0,1)+IF(OR(Charges!N231="",AND(ISNUMBER(Charges!N231),Charges!N231&gt;=0),Charges!N231="S",Charges!N231="M",Charges!N231="L",Charges!N231="XL"),0,1)+IF(OR(Charges!O231="",AND(ISNUMBER(Charges!O231),Charges!O231&gt;=0),Charges!O231="S",Charges!O231="M",Charges!O231="L",Charges!O231="XL"),0,1)+IF(OR(Charges!P231="",AND(ISNUMBER(Charges!P231),Charges!P231&gt;=0),Charges!P231="S",Charges!P231="M",Charges!P231="L",Charges!P231="XL"),0,1)+IF(OR(Charges!Q231="",AND(ISNUMBER(Charges!Q231),Charges!Q231&gt;=0),Charges!Q231="S",Charges!Q231="M",Charges!Q231="L",Charges!Q231="XL"),0,1)+IF(OR(Charges!R231="",AND(ISNUMBER(Charges!R231),Charges!R231&gt;=0),Charges!R231="S",Charges!R231="M",Charges!R231="L",Charges!R231="XL"),0,1)</f>
        <v>0</v>
      </c>
      <c r="U231" t="n">
        <f>IF(AND(1&gt;Paramètres!$B$9,Charges!F231&lt;&gt;"",Charges!F231&lt;&gt;0),1,0)+IF(AND(2&gt;Paramètres!$B$9,Charges!G231&lt;&gt;"",Charges!G231&lt;&gt;0),1,0)+IF(AND(3&gt;Paramètres!$B$9,Charges!H231&lt;&gt;"",Charges!H231&lt;&gt;0),1,0)+IF(AND(4&gt;Paramètres!$B$9,Charges!I231&lt;&gt;"",Charges!I231&lt;&gt;0),1,0)+IF(AND(5&gt;Paramètres!$B$9,Charges!J231&lt;&gt;"",Charges!J231&lt;&gt;0),1,0)+IF(AND(6&gt;Paramètres!$B$9,Charges!K231&lt;&gt;"",Charges!K231&lt;&gt;0),1,0)+IF(AND(7&gt;Paramètres!$B$9,Charges!L231&lt;&gt;"",Charges!L231&lt;&gt;0),1,0)+IF(AND(8&gt;Paramètres!$B$9,Charges!M231&lt;&gt;"",Charges!M231&lt;&gt;0),1,0)+IF(AND(9&gt;Paramètres!$B$9,Charges!N231&lt;&gt;"",Charges!N231&lt;&gt;0),1,0)+IF(AND(10&gt;Paramètres!$B$9,Charges!O231&lt;&gt;"",Charges!O231&lt;&gt;0),1,0)+IF(AND(11&gt;Paramètres!$B$9,Charges!P231&lt;&gt;"",Charges!P231&lt;&gt;0),1,0)+IF(AND(12&gt;Paramètres!$B$9,Charges!Q231&lt;&gt;"",Charges!Q231&lt;&gt;0),1,0)+IF(AND(13&gt;Paramètres!$B$9,Charges!R231&lt;&gt;"",Charges!R231&lt;&gt;0),1,0)</f>
        <v>0</v>
      </c>
      <c r="V231" t="n">
        <f>IF(IFERROR(VLOOKUP(A231,'Projets'!$A$8:$Z$67,5,FALSE),"")="Engager",1,0)</f>
        <v>0</v>
      </c>
      <c r="W231" t="n">
        <f>IF(IFERROR(VLOOKUP(A231,'Projets'!$A$8:$Z$67,6,FALSE),"")="Engager",1,0)</f>
        <v>0</v>
      </c>
      <c r="X231" t="n">
        <f>E231*S231</f>
        <v>0</v>
      </c>
      <c r="Y231" t="n">
        <f>F231*S231</f>
        <v>0</v>
      </c>
      <c r="Z231" t="n">
        <f>G231*S231</f>
        <v>0</v>
      </c>
      <c r="AA231" t="n">
        <f>H231*S231</f>
        <v>0</v>
      </c>
      <c r="AB231" t="n">
        <f>I231*S231</f>
        <v>0</v>
      </c>
      <c r="AC231" t="n">
        <f>J231*S231</f>
        <v>0</v>
      </c>
      <c r="AD231" t="n">
        <f>K231*S231</f>
        <v>0</v>
      </c>
      <c r="AE231" t="n">
        <f>L231*S231</f>
        <v>0</v>
      </c>
      <c r="AF231" t="n">
        <f>M231*S231</f>
        <v>0</v>
      </c>
      <c r="AG231" t="n">
        <f>N231*S231</f>
        <v>0</v>
      </c>
      <c r="AH231" t="n">
        <f>O231*S231</f>
        <v>0</v>
      </c>
      <c r="AI231" t="n">
        <f>P231*S231</f>
        <v>0</v>
      </c>
      <c r="AJ231" t="n">
        <f>Q231*S231</f>
        <v>0</v>
      </c>
      <c r="AK231" t="n">
        <f>E231*V231</f>
        <v>0</v>
      </c>
      <c r="AL231" t="n">
        <f>F231*V231</f>
        <v>0</v>
      </c>
      <c r="AM231" t="n">
        <f>G231*V231</f>
        <v>0</v>
      </c>
      <c r="AN231" t="n">
        <f>H231*V231</f>
        <v>0</v>
      </c>
      <c r="AO231" t="n">
        <f>I231*V231</f>
        <v>0</v>
      </c>
      <c r="AP231" t="n">
        <f>J231*V231</f>
        <v>0</v>
      </c>
      <c r="AQ231" t="n">
        <f>K231*V231</f>
        <v>0</v>
      </c>
      <c r="AR231" t="n">
        <f>L231*V231</f>
        <v>0</v>
      </c>
      <c r="AS231" t="n">
        <f>M231*V231</f>
        <v>0</v>
      </c>
      <c r="AT231" t="n">
        <f>N231*V231</f>
        <v>0</v>
      </c>
      <c r="AU231" t="n">
        <f>O231*V231</f>
        <v>0</v>
      </c>
      <c r="AV231" t="n">
        <f>P231*V231</f>
        <v>0</v>
      </c>
      <c r="AW231" t="n">
        <f>Q231*V231</f>
        <v>0</v>
      </c>
      <c r="AX231" t="n">
        <f>E231*W231</f>
        <v>0</v>
      </c>
      <c r="AY231" t="n">
        <f>F231*W231</f>
        <v>0</v>
      </c>
      <c r="AZ231" t="n">
        <f>G231*W231</f>
        <v>0</v>
      </c>
      <c r="BA231" t="n">
        <f>H231*W231</f>
        <v>0</v>
      </c>
      <c r="BB231" t="n">
        <f>I231*W231</f>
        <v>0</v>
      </c>
      <c r="BC231" t="n">
        <f>J231*W231</f>
        <v>0</v>
      </c>
      <c r="BD231" t="n">
        <f>K231*W231</f>
        <v>0</v>
      </c>
      <c r="BE231" t="n">
        <f>L231*W231</f>
        <v>0</v>
      </c>
      <c r="BF231" t="n">
        <f>M231*W231</f>
        <v>0</v>
      </c>
      <c r="BG231" t="n">
        <f>N231*W231</f>
        <v>0</v>
      </c>
      <c r="BH231" t="n">
        <f>O231*W231</f>
        <v>0</v>
      </c>
      <c r="BI231" t="n">
        <f>P231*W231</f>
        <v>0</v>
      </c>
      <c r="BJ231" t="n">
        <f>Q231*W231</f>
        <v>0</v>
      </c>
    </row>
    <row r="232">
      <c r="A232" t="n">
        <f>Charges!A232</f>
        <v>0</v>
      </c>
      <c r="B232" t="n">
        <f>Charges!C232</f>
        <v>0</v>
      </c>
      <c r="C232" t="str">
        <f>Charges!D232</f>
        <v/>
      </c>
      <c r="E232" t="n">
        <f>IF(1&lt;=Paramètres!$B$9,MAX(0,IFERROR(N(IF(ISNUMBER(Charges!F232),MAX(0,Charges!F232),IFERROR(VLOOKUP(Charges!F232,Paramètres!$A$15:$B$18,2,FALSE),0))),0)),0)</f>
        <v>0</v>
      </c>
      <c r="F232" t="n">
        <f>IF(2&lt;=Paramètres!$B$9,MAX(0,IFERROR(N(IF(ISNUMBER(Charges!G232),MAX(0,Charges!G232),IFERROR(VLOOKUP(Charges!G232,Paramètres!$A$15:$B$18,2,FALSE),0))),0)),0)</f>
        <v>0</v>
      </c>
      <c r="G232" t="n">
        <f>IF(3&lt;=Paramètres!$B$9,MAX(0,IFERROR(N(IF(ISNUMBER(Charges!H232),MAX(0,Charges!H232),IFERROR(VLOOKUP(Charges!H232,Paramètres!$A$15:$B$18,2,FALSE),0))),0)),0)</f>
        <v>0</v>
      </c>
      <c r="H232" t="n">
        <f>IF(4&lt;=Paramètres!$B$9,MAX(0,IFERROR(N(IF(ISNUMBER(Charges!I232),MAX(0,Charges!I232),IFERROR(VLOOKUP(Charges!I232,Paramètres!$A$15:$B$18,2,FALSE),0))),0)),0)</f>
        <v>0</v>
      </c>
      <c r="I232" t="n">
        <f>IF(5&lt;=Paramètres!$B$9,MAX(0,IFERROR(N(IF(ISNUMBER(Charges!J232),MAX(0,Charges!J232),IFERROR(VLOOKUP(Charges!J232,Paramètres!$A$15:$B$18,2,FALSE),0))),0)),0)</f>
        <v>0</v>
      </c>
      <c r="J232" t="n">
        <f>IF(6&lt;=Paramètres!$B$9,MAX(0,IFERROR(N(IF(ISNUMBER(Charges!K232),MAX(0,Charges!K232),IFERROR(VLOOKUP(Charges!K232,Paramètres!$A$15:$B$18,2,FALSE),0))),0)),0)</f>
        <v>0</v>
      </c>
      <c r="K232" t="n">
        <f>IF(7&lt;=Paramètres!$B$9,MAX(0,IFERROR(N(IF(ISNUMBER(Charges!L232),MAX(0,Charges!L232),IFERROR(VLOOKUP(Charges!L232,Paramètres!$A$15:$B$18,2,FALSE),0))),0)),0)</f>
        <v>0</v>
      </c>
      <c r="L232" t="n">
        <f>IF(8&lt;=Paramètres!$B$9,MAX(0,IFERROR(N(IF(ISNUMBER(Charges!M232),MAX(0,Charges!M232),IFERROR(VLOOKUP(Charges!M232,Paramètres!$A$15:$B$18,2,FALSE),0))),0)),0)</f>
        <v>0</v>
      </c>
      <c r="M232" t="n">
        <f>IF(9&lt;=Paramètres!$B$9,MAX(0,IFERROR(N(IF(ISNUMBER(Charges!N232),MAX(0,Charges!N232),IFERROR(VLOOKUP(Charges!N232,Paramètres!$A$15:$B$18,2,FALSE),0))),0)),0)</f>
        <v>0</v>
      </c>
      <c r="N232" t="n">
        <f>IF(10&lt;=Paramètres!$B$9,MAX(0,IFERROR(N(IF(ISNUMBER(Charges!O232),MAX(0,Charges!O232),IFERROR(VLOOKUP(Charges!O232,Paramètres!$A$15:$B$18,2,FALSE),0))),0)),0)</f>
        <v>0</v>
      </c>
      <c r="O232" t="n">
        <f>IF(11&lt;=Paramètres!$B$9,MAX(0,IFERROR(N(IF(ISNUMBER(Charges!P232),MAX(0,Charges!P232),IFERROR(VLOOKUP(Charges!P232,Paramètres!$A$15:$B$18,2,FALSE),0))),0)),0)</f>
        <v>0</v>
      </c>
      <c r="P232" t="n">
        <f>IF(12&lt;=Paramètres!$B$9,MAX(0,IFERROR(N(IF(ISNUMBER(Charges!Q232),MAX(0,Charges!Q232),IFERROR(VLOOKUP(Charges!Q232,Paramètres!$A$15:$B$18,2,FALSE),0))),0)),0)</f>
        <v>0</v>
      </c>
      <c r="Q232" t="n">
        <f>IF(13&lt;=Paramètres!$B$9,MAX(0,IFERROR(N(IF(ISNUMBER(Charges!R232),MAX(0,Charges!R232),IFERROR(VLOOKUP(Charges!R232,Paramètres!$A$15:$B$18,2,FALSE),0))),0)),0)</f>
        <v>0</v>
      </c>
      <c r="R232" t="n">
        <f>SUM(E232:Q232)</f>
        <v>0</v>
      </c>
      <c r="S232" t="n">
        <f>IF(IFERROR(VLOOKUP(A232,'Projets'!$A$8:$Z$67,7,FALSE),"")="Engager",1,0)</f>
        <v>0</v>
      </c>
      <c r="T232" t="n">
        <f>IF(OR(Charges!F232="",AND(ISNUMBER(Charges!F232),Charges!F232&gt;=0),Charges!F232="S",Charges!F232="M",Charges!F232="L",Charges!F232="XL"),0,1)+IF(OR(Charges!G232="",AND(ISNUMBER(Charges!G232),Charges!G232&gt;=0),Charges!G232="S",Charges!G232="M",Charges!G232="L",Charges!G232="XL"),0,1)+IF(OR(Charges!H232="",AND(ISNUMBER(Charges!H232),Charges!H232&gt;=0),Charges!H232="S",Charges!H232="M",Charges!H232="L",Charges!H232="XL"),0,1)+IF(OR(Charges!I232="",AND(ISNUMBER(Charges!I232),Charges!I232&gt;=0),Charges!I232="S",Charges!I232="M",Charges!I232="L",Charges!I232="XL"),0,1)+IF(OR(Charges!J232="",AND(ISNUMBER(Charges!J232),Charges!J232&gt;=0),Charges!J232="S",Charges!J232="M",Charges!J232="L",Charges!J232="XL"),0,1)+IF(OR(Charges!K232="",AND(ISNUMBER(Charges!K232),Charges!K232&gt;=0),Charges!K232="S",Charges!K232="M",Charges!K232="L",Charges!K232="XL"),0,1)+IF(OR(Charges!L232="",AND(ISNUMBER(Charges!L232),Charges!L232&gt;=0),Charges!L232="S",Charges!L232="M",Charges!L232="L",Charges!L232="XL"),0,1)+IF(OR(Charges!M232="",AND(ISNUMBER(Charges!M232),Charges!M232&gt;=0),Charges!M232="S",Charges!M232="M",Charges!M232="L",Charges!M232="XL"),0,1)+IF(OR(Charges!N232="",AND(ISNUMBER(Charges!N232),Charges!N232&gt;=0),Charges!N232="S",Charges!N232="M",Charges!N232="L",Charges!N232="XL"),0,1)+IF(OR(Charges!O232="",AND(ISNUMBER(Charges!O232),Charges!O232&gt;=0),Charges!O232="S",Charges!O232="M",Charges!O232="L",Charges!O232="XL"),0,1)+IF(OR(Charges!P232="",AND(ISNUMBER(Charges!P232),Charges!P232&gt;=0),Charges!P232="S",Charges!P232="M",Charges!P232="L",Charges!P232="XL"),0,1)+IF(OR(Charges!Q232="",AND(ISNUMBER(Charges!Q232),Charges!Q232&gt;=0),Charges!Q232="S",Charges!Q232="M",Charges!Q232="L",Charges!Q232="XL"),0,1)+IF(OR(Charges!R232="",AND(ISNUMBER(Charges!R232),Charges!R232&gt;=0),Charges!R232="S",Charges!R232="M",Charges!R232="L",Charges!R232="XL"),0,1)</f>
        <v>0</v>
      </c>
      <c r="U232" t="n">
        <f>IF(AND(1&gt;Paramètres!$B$9,Charges!F232&lt;&gt;"",Charges!F232&lt;&gt;0),1,0)+IF(AND(2&gt;Paramètres!$B$9,Charges!G232&lt;&gt;"",Charges!G232&lt;&gt;0),1,0)+IF(AND(3&gt;Paramètres!$B$9,Charges!H232&lt;&gt;"",Charges!H232&lt;&gt;0),1,0)+IF(AND(4&gt;Paramètres!$B$9,Charges!I232&lt;&gt;"",Charges!I232&lt;&gt;0),1,0)+IF(AND(5&gt;Paramètres!$B$9,Charges!J232&lt;&gt;"",Charges!J232&lt;&gt;0),1,0)+IF(AND(6&gt;Paramètres!$B$9,Charges!K232&lt;&gt;"",Charges!K232&lt;&gt;0),1,0)+IF(AND(7&gt;Paramètres!$B$9,Charges!L232&lt;&gt;"",Charges!L232&lt;&gt;0),1,0)+IF(AND(8&gt;Paramètres!$B$9,Charges!M232&lt;&gt;"",Charges!M232&lt;&gt;0),1,0)+IF(AND(9&gt;Paramètres!$B$9,Charges!N232&lt;&gt;"",Charges!N232&lt;&gt;0),1,0)+IF(AND(10&gt;Paramètres!$B$9,Charges!O232&lt;&gt;"",Charges!O232&lt;&gt;0),1,0)+IF(AND(11&gt;Paramètres!$B$9,Charges!P232&lt;&gt;"",Charges!P232&lt;&gt;0),1,0)+IF(AND(12&gt;Paramètres!$B$9,Charges!Q232&lt;&gt;"",Charges!Q232&lt;&gt;0),1,0)+IF(AND(13&gt;Paramètres!$B$9,Charges!R232&lt;&gt;"",Charges!R232&lt;&gt;0),1,0)</f>
        <v>0</v>
      </c>
      <c r="V232" t="n">
        <f>IF(IFERROR(VLOOKUP(A232,'Projets'!$A$8:$Z$67,5,FALSE),"")="Engager",1,0)</f>
        <v>0</v>
      </c>
      <c r="W232" t="n">
        <f>IF(IFERROR(VLOOKUP(A232,'Projets'!$A$8:$Z$67,6,FALSE),"")="Engager",1,0)</f>
        <v>0</v>
      </c>
      <c r="X232" t="n">
        <f>E232*S232</f>
        <v>0</v>
      </c>
      <c r="Y232" t="n">
        <f>F232*S232</f>
        <v>0</v>
      </c>
      <c r="Z232" t="n">
        <f>G232*S232</f>
        <v>0</v>
      </c>
      <c r="AA232" t="n">
        <f>H232*S232</f>
        <v>0</v>
      </c>
      <c r="AB232" t="n">
        <f>I232*S232</f>
        <v>0</v>
      </c>
      <c r="AC232" t="n">
        <f>J232*S232</f>
        <v>0</v>
      </c>
      <c r="AD232" t="n">
        <f>K232*S232</f>
        <v>0</v>
      </c>
      <c r="AE232" t="n">
        <f>L232*S232</f>
        <v>0</v>
      </c>
      <c r="AF232" t="n">
        <f>M232*S232</f>
        <v>0</v>
      </c>
      <c r="AG232" t="n">
        <f>N232*S232</f>
        <v>0</v>
      </c>
      <c r="AH232" t="n">
        <f>O232*S232</f>
        <v>0</v>
      </c>
      <c r="AI232" t="n">
        <f>P232*S232</f>
        <v>0</v>
      </c>
      <c r="AJ232" t="n">
        <f>Q232*S232</f>
        <v>0</v>
      </c>
      <c r="AK232" t="n">
        <f>E232*V232</f>
        <v>0</v>
      </c>
      <c r="AL232" t="n">
        <f>F232*V232</f>
        <v>0</v>
      </c>
      <c r="AM232" t="n">
        <f>G232*V232</f>
        <v>0</v>
      </c>
      <c r="AN232" t="n">
        <f>H232*V232</f>
        <v>0</v>
      </c>
      <c r="AO232" t="n">
        <f>I232*V232</f>
        <v>0</v>
      </c>
      <c r="AP232" t="n">
        <f>J232*V232</f>
        <v>0</v>
      </c>
      <c r="AQ232" t="n">
        <f>K232*V232</f>
        <v>0</v>
      </c>
      <c r="AR232" t="n">
        <f>L232*V232</f>
        <v>0</v>
      </c>
      <c r="AS232" t="n">
        <f>M232*V232</f>
        <v>0</v>
      </c>
      <c r="AT232" t="n">
        <f>N232*V232</f>
        <v>0</v>
      </c>
      <c r="AU232" t="n">
        <f>O232*V232</f>
        <v>0</v>
      </c>
      <c r="AV232" t="n">
        <f>P232*V232</f>
        <v>0</v>
      </c>
      <c r="AW232" t="n">
        <f>Q232*V232</f>
        <v>0</v>
      </c>
      <c r="AX232" t="n">
        <f>E232*W232</f>
        <v>0</v>
      </c>
      <c r="AY232" t="n">
        <f>F232*W232</f>
        <v>0</v>
      </c>
      <c r="AZ232" t="n">
        <f>G232*W232</f>
        <v>0</v>
      </c>
      <c r="BA232" t="n">
        <f>H232*W232</f>
        <v>0</v>
      </c>
      <c r="BB232" t="n">
        <f>I232*W232</f>
        <v>0</v>
      </c>
      <c r="BC232" t="n">
        <f>J232*W232</f>
        <v>0</v>
      </c>
      <c r="BD232" t="n">
        <f>K232*W232</f>
        <v>0</v>
      </c>
      <c r="BE232" t="n">
        <f>L232*W232</f>
        <v>0</v>
      </c>
      <c r="BF232" t="n">
        <f>M232*W232</f>
        <v>0</v>
      </c>
      <c r="BG232" t="n">
        <f>N232*W232</f>
        <v>0</v>
      </c>
      <c r="BH232" t="n">
        <f>O232*W232</f>
        <v>0</v>
      </c>
      <c r="BI232" t="n">
        <f>P232*W232</f>
        <v>0</v>
      </c>
      <c r="BJ232" t="n">
        <f>Q232*W232</f>
        <v>0</v>
      </c>
    </row>
    <row r="233">
      <c r="A233" t="n">
        <f>Charges!A233</f>
        <v>0</v>
      </c>
      <c r="B233" t="n">
        <f>Charges!C233</f>
        <v>0</v>
      </c>
      <c r="C233" t="str">
        <f>Charges!D233</f>
        <v/>
      </c>
      <c r="E233" t="n">
        <f>IF(1&lt;=Paramètres!$B$9,MAX(0,IFERROR(N(IF(ISNUMBER(Charges!F233),MAX(0,Charges!F233),IFERROR(VLOOKUP(Charges!F233,Paramètres!$A$15:$B$18,2,FALSE),0))),0)),0)</f>
        <v>0</v>
      </c>
      <c r="F233" t="n">
        <f>IF(2&lt;=Paramètres!$B$9,MAX(0,IFERROR(N(IF(ISNUMBER(Charges!G233),MAX(0,Charges!G233),IFERROR(VLOOKUP(Charges!G233,Paramètres!$A$15:$B$18,2,FALSE),0))),0)),0)</f>
        <v>0</v>
      </c>
      <c r="G233" t="n">
        <f>IF(3&lt;=Paramètres!$B$9,MAX(0,IFERROR(N(IF(ISNUMBER(Charges!H233),MAX(0,Charges!H233),IFERROR(VLOOKUP(Charges!H233,Paramètres!$A$15:$B$18,2,FALSE),0))),0)),0)</f>
        <v>0</v>
      </c>
      <c r="H233" t="n">
        <f>IF(4&lt;=Paramètres!$B$9,MAX(0,IFERROR(N(IF(ISNUMBER(Charges!I233),MAX(0,Charges!I233),IFERROR(VLOOKUP(Charges!I233,Paramètres!$A$15:$B$18,2,FALSE),0))),0)),0)</f>
        <v>0</v>
      </c>
      <c r="I233" t="n">
        <f>IF(5&lt;=Paramètres!$B$9,MAX(0,IFERROR(N(IF(ISNUMBER(Charges!J233),MAX(0,Charges!J233),IFERROR(VLOOKUP(Charges!J233,Paramètres!$A$15:$B$18,2,FALSE),0))),0)),0)</f>
        <v>0</v>
      </c>
      <c r="J233" t="n">
        <f>IF(6&lt;=Paramètres!$B$9,MAX(0,IFERROR(N(IF(ISNUMBER(Charges!K233),MAX(0,Charges!K233),IFERROR(VLOOKUP(Charges!K233,Paramètres!$A$15:$B$18,2,FALSE),0))),0)),0)</f>
        <v>0</v>
      </c>
      <c r="K233" t="n">
        <f>IF(7&lt;=Paramètres!$B$9,MAX(0,IFERROR(N(IF(ISNUMBER(Charges!L233),MAX(0,Charges!L233),IFERROR(VLOOKUP(Charges!L233,Paramètres!$A$15:$B$18,2,FALSE),0))),0)),0)</f>
        <v>0</v>
      </c>
      <c r="L233" t="n">
        <f>IF(8&lt;=Paramètres!$B$9,MAX(0,IFERROR(N(IF(ISNUMBER(Charges!M233),MAX(0,Charges!M233),IFERROR(VLOOKUP(Charges!M233,Paramètres!$A$15:$B$18,2,FALSE),0))),0)),0)</f>
        <v>0</v>
      </c>
      <c r="M233" t="n">
        <f>IF(9&lt;=Paramètres!$B$9,MAX(0,IFERROR(N(IF(ISNUMBER(Charges!N233),MAX(0,Charges!N233),IFERROR(VLOOKUP(Charges!N233,Paramètres!$A$15:$B$18,2,FALSE),0))),0)),0)</f>
        <v>0</v>
      </c>
      <c r="N233" t="n">
        <f>IF(10&lt;=Paramètres!$B$9,MAX(0,IFERROR(N(IF(ISNUMBER(Charges!O233),MAX(0,Charges!O233),IFERROR(VLOOKUP(Charges!O233,Paramètres!$A$15:$B$18,2,FALSE),0))),0)),0)</f>
        <v>0</v>
      </c>
      <c r="O233" t="n">
        <f>IF(11&lt;=Paramètres!$B$9,MAX(0,IFERROR(N(IF(ISNUMBER(Charges!P233),MAX(0,Charges!P233),IFERROR(VLOOKUP(Charges!P233,Paramètres!$A$15:$B$18,2,FALSE),0))),0)),0)</f>
        <v>0</v>
      </c>
      <c r="P233" t="n">
        <f>IF(12&lt;=Paramètres!$B$9,MAX(0,IFERROR(N(IF(ISNUMBER(Charges!Q233),MAX(0,Charges!Q233),IFERROR(VLOOKUP(Charges!Q233,Paramètres!$A$15:$B$18,2,FALSE),0))),0)),0)</f>
        <v>0</v>
      </c>
      <c r="Q233" t="n">
        <f>IF(13&lt;=Paramètres!$B$9,MAX(0,IFERROR(N(IF(ISNUMBER(Charges!R233),MAX(0,Charges!R233),IFERROR(VLOOKUP(Charges!R233,Paramètres!$A$15:$B$18,2,FALSE),0))),0)),0)</f>
        <v>0</v>
      </c>
      <c r="R233" t="n">
        <f>SUM(E233:Q233)</f>
        <v>0</v>
      </c>
      <c r="S233" t="n">
        <f>IF(IFERROR(VLOOKUP(A233,'Projets'!$A$8:$Z$67,7,FALSE),"")="Engager",1,0)</f>
        <v>0</v>
      </c>
      <c r="T233" t="n">
        <f>IF(OR(Charges!F233="",AND(ISNUMBER(Charges!F233),Charges!F233&gt;=0),Charges!F233="S",Charges!F233="M",Charges!F233="L",Charges!F233="XL"),0,1)+IF(OR(Charges!G233="",AND(ISNUMBER(Charges!G233),Charges!G233&gt;=0),Charges!G233="S",Charges!G233="M",Charges!G233="L",Charges!G233="XL"),0,1)+IF(OR(Charges!H233="",AND(ISNUMBER(Charges!H233),Charges!H233&gt;=0),Charges!H233="S",Charges!H233="M",Charges!H233="L",Charges!H233="XL"),0,1)+IF(OR(Charges!I233="",AND(ISNUMBER(Charges!I233),Charges!I233&gt;=0),Charges!I233="S",Charges!I233="M",Charges!I233="L",Charges!I233="XL"),0,1)+IF(OR(Charges!J233="",AND(ISNUMBER(Charges!J233),Charges!J233&gt;=0),Charges!J233="S",Charges!J233="M",Charges!J233="L",Charges!J233="XL"),0,1)+IF(OR(Charges!K233="",AND(ISNUMBER(Charges!K233),Charges!K233&gt;=0),Charges!K233="S",Charges!K233="M",Charges!K233="L",Charges!K233="XL"),0,1)+IF(OR(Charges!L233="",AND(ISNUMBER(Charges!L233),Charges!L233&gt;=0),Charges!L233="S",Charges!L233="M",Charges!L233="L",Charges!L233="XL"),0,1)+IF(OR(Charges!M233="",AND(ISNUMBER(Charges!M233),Charges!M233&gt;=0),Charges!M233="S",Charges!M233="M",Charges!M233="L",Charges!M233="XL"),0,1)+IF(OR(Charges!N233="",AND(ISNUMBER(Charges!N233),Charges!N233&gt;=0),Charges!N233="S",Charges!N233="M",Charges!N233="L",Charges!N233="XL"),0,1)+IF(OR(Charges!O233="",AND(ISNUMBER(Charges!O233),Charges!O233&gt;=0),Charges!O233="S",Charges!O233="M",Charges!O233="L",Charges!O233="XL"),0,1)+IF(OR(Charges!P233="",AND(ISNUMBER(Charges!P233),Charges!P233&gt;=0),Charges!P233="S",Charges!P233="M",Charges!P233="L",Charges!P233="XL"),0,1)+IF(OR(Charges!Q233="",AND(ISNUMBER(Charges!Q233),Charges!Q233&gt;=0),Charges!Q233="S",Charges!Q233="M",Charges!Q233="L",Charges!Q233="XL"),0,1)+IF(OR(Charges!R233="",AND(ISNUMBER(Charges!R233),Charges!R233&gt;=0),Charges!R233="S",Charges!R233="M",Charges!R233="L",Charges!R233="XL"),0,1)</f>
        <v>0</v>
      </c>
      <c r="U233" t="n">
        <f>IF(AND(1&gt;Paramètres!$B$9,Charges!F233&lt;&gt;"",Charges!F233&lt;&gt;0),1,0)+IF(AND(2&gt;Paramètres!$B$9,Charges!G233&lt;&gt;"",Charges!G233&lt;&gt;0),1,0)+IF(AND(3&gt;Paramètres!$B$9,Charges!H233&lt;&gt;"",Charges!H233&lt;&gt;0),1,0)+IF(AND(4&gt;Paramètres!$B$9,Charges!I233&lt;&gt;"",Charges!I233&lt;&gt;0),1,0)+IF(AND(5&gt;Paramètres!$B$9,Charges!J233&lt;&gt;"",Charges!J233&lt;&gt;0),1,0)+IF(AND(6&gt;Paramètres!$B$9,Charges!K233&lt;&gt;"",Charges!K233&lt;&gt;0),1,0)+IF(AND(7&gt;Paramètres!$B$9,Charges!L233&lt;&gt;"",Charges!L233&lt;&gt;0),1,0)+IF(AND(8&gt;Paramètres!$B$9,Charges!M233&lt;&gt;"",Charges!M233&lt;&gt;0),1,0)+IF(AND(9&gt;Paramètres!$B$9,Charges!N233&lt;&gt;"",Charges!N233&lt;&gt;0),1,0)+IF(AND(10&gt;Paramètres!$B$9,Charges!O233&lt;&gt;"",Charges!O233&lt;&gt;0),1,0)+IF(AND(11&gt;Paramètres!$B$9,Charges!P233&lt;&gt;"",Charges!P233&lt;&gt;0),1,0)+IF(AND(12&gt;Paramètres!$B$9,Charges!Q233&lt;&gt;"",Charges!Q233&lt;&gt;0),1,0)+IF(AND(13&gt;Paramètres!$B$9,Charges!R233&lt;&gt;"",Charges!R233&lt;&gt;0),1,0)</f>
        <v>0</v>
      </c>
      <c r="V233" t="n">
        <f>IF(IFERROR(VLOOKUP(A233,'Projets'!$A$8:$Z$67,5,FALSE),"")="Engager",1,0)</f>
        <v>0</v>
      </c>
      <c r="W233" t="n">
        <f>IF(IFERROR(VLOOKUP(A233,'Projets'!$A$8:$Z$67,6,FALSE),"")="Engager",1,0)</f>
        <v>0</v>
      </c>
      <c r="X233" t="n">
        <f>E233*S233</f>
        <v>0</v>
      </c>
      <c r="Y233" t="n">
        <f>F233*S233</f>
        <v>0</v>
      </c>
      <c r="Z233" t="n">
        <f>G233*S233</f>
        <v>0</v>
      </c>
      <c r="AA233" t="n">
        <f>H233*S233</f>
        <v>0</v>
      </c>
      <c r="AB233" t="n">
        <f>I233*S233</f>
        <v>0</v>
      </c>
      <c r="AC233" t="n">
        <f>J233*S233</f>
        <v>0</v>
      </c>
      <c r="AD233" t="n">
        <f>K233*S233</f>
        <v>0</v>
      </c>
      <c r="AE233" t="n">
        <f>L233*S233</f>
        <v>0</v>
      </c>
      <c r="AF233" t="n">
        <f>M233*S233</f>
        <v>0</v>
      </c>
      <c r="AG233" t="n">
        <f>N233*S233</f>
        <v>0</v>
      </c>
      <c r="AH233" t="n">
        <f>O233*S233</f>
        <v>0</v>
      </c>
      <c r="AI233" t="n">
        <f>P233*S233</f>
        <v>0</v>
      </c>
      <c r="AJ233" t="n">
        <f>Q233*S233</f>
        <v>0</v>
      </c>
      <c r="AK233" t="n">
        <f>E233*V233</f>
        <v>0</v>
      </c>
      <c r="AL233" t="n">
        <f>F233*V233</f>
        <v>0</v>
      </c>
      <c r="AM233" t="n">
        <f>G233*V233</f>
        <v>0</v>
      </c>
      <c r="AN233" t="n">
        <f>H233*V233</f>
        <v>0</v>
      </c>
      <c r="AO233" t="n">
        <f>I233*V233</f>
        <v>0</v>
      </c>
      <c r="AP233" t="n">
        <f>J233*V233</f>
        <v>0</v>
      </c>
      <c r="AQ233" t="n">
        <f>K233*V233</f>
        <v>0</v>
      </c>
      <c r="AR233" t="n">
        <f>L233*V233</f>
        <v>0</v>
      </c>
      <c r="AS233" t="n">
        <f>M233*V233</f>
        <v>0</v>
      </c>
      <c r="AT233" t="n">
        <f>N233*V233</f>
        <v>0</v>
      </c>
      <c r="AU233" t="n">
        <f>O233*V233</f>
        <v>0</v>
      </c>
      <c r="AV233" t="n">
        <f>P233*V233</f>
        <v>0</v>
      </c>
      <c r="AW233" t="n">
        <f>Q233*V233</f>
        <v>0</v>
      </c>
      <c r="AX233" t="n">
        <f>E233*W233</f>
        <v>0</v>
      </c>
      <c r="AY233" t="n">
        <f>F233*W233</f>
        <v>0</v>
      </c>
      <c r="AZ233" t="n">
        <f>G233*W233</f>
        <v>0</v>
      </c>
      <c r="BA233" t="n">
        <f>H233*W233</f>
        <v>0</v>
      </c>
      <c r="BB233" t="n">
        <f>I233*W233</f>
        <v>0</v>
      </c>
      <c r="BC233" t="n">
        <f>J233*W233</f>
        <v>0</v>
      </c>
      <c r="BD233" t="n">
        <f>K233*W233</f>
        <v>0</v>
      </c>
      <c r="BE233" t="n">
        <f>L233*W233</f>
        <v>0</v>
      </c>
      <c r="BF233" t="n">
        <f>M233*W233</f>
        <v>0</v>
      </c>
      <c r="BG233" t="n">
        <f>N233*W233</f>
        <v>0</v>
      </c>
      <c r="BH233" t="n">
        <f>O233*W233</f>
        <v>0</v>
      </c>
      <c r="BI233" t="n">
        <f>P233*W233</f>
        <v>0</v>
      </c>
      <c r="BJ233" t="n">
        <f>Q233*W233</f>
        <v>0</v>
      </c>
    </row>
    <row r="234">
      <c r="A234" t="n">
        <f>Charges!A234</f>
        <v>0</v>
      </c>
      <c r="B234" t="n">
        <f>Charges!C234</f>
        <v>0</v>
      </c>
      <c r="C234" t="str">
        <f>Charges!D234</f>
        <v/>
      </c>
      <c r="E234" t="n">
        <f>IF(1&lt;=Paramètres!$B$9,MAX(0,IFERROR(N(IF(ISNUMBER(Charges!F234),MAX(0,Charges!F234),IFERROR(VLOOKUP(Charges!F234,Paramètres!$A$15:$B$18,2,FALSE),0))),0)),0)</f>
        <v>0</v>
      </c>
      <c r="F234" t="n">
        <f>IF(2&lt;=Paramètres!$B$9,MAX(0,IFERROR(N(IF(ISNUMBER(Charges!G234),MAX(0,Charges!G234),IFERROR(VLOOKUP(Charges!G234,Paramètres!$A$15:$B$18,2,FALSE),0))),0)),0)</f>
        <v>0</v>
      </c>
      <c r="G234" t="n">
        <f>IF(3&lt;=Paramètres!$B$9,MAX(0,IFERROR(N(IF(ISNUMBER(Charges!H234),MAX(0,Charges!H234),IFERROR(VLOOKUP(Charges!H234,Paramètres!$A$15:$B$18,2,FALSE),0))),0)),0)</f>
        <v>0</v>
      </c>
      <c r="H234" t="n">
        <f>IF(4&lt;=Paramètres!$B$9,MAX(0,IFERROR(N(IF(ISNUMBER(Charges!I234),MAX(0,Charges!I234),IFERROR(VLOOKUP(Charges!I234,Paramètres!$A$15:$B$18,2,FALSE),0))),0)),0)</f>
        <v>0</v>
      </c>
      <c r="I234" t="n">
        <f>IF(5&lt;=Paramètres!$B$9,MAX(0,IFERROR(N(IF(ISNUMBER(Charges!J234),MAX(0,Charges!J234),IFERROR(VLOOKUP(Charges!J234,Paramètres!$A$15:$B$18,2,FALSE),0))),0)),0)</f>
        <v>0</v>
      </c>
      <c r="J234" t="n">
        <f>IF(6&lt;=Paramètres!$B$9,MAX(0,IFERROR(N(IF(ISNUMBER(Charges!K234),MAX(0,Charges!K234),IFERROR(VLOOKUP(Charges!K234,Paramètres!$A$15:$B$18,2,FALSE),0))),0)),0)</f>
        <v>0</v>
      </c>
      <c r="K234" t="n">
        <f>IF(7&lt;=Paramètres!$B$9,MAX(0,IFERROR(N(IF(ISNUMBER(Charges!L234),MAX(0,Charges!L234),IFERROR(VLOOKUP(Charges!L234,Paramètres!$A$15:$B$18,2,FALSE),0))),0)),0)</f>
        <v>0</v>
      </c>
      <c r="L234" t="n">
        <f>IF(8&lt;=Paramètres!$B$9,MAX(0,IFERROR(N(IF(ISNUMBER(Charges!M234),MAX(0,Charges!M234),IFERROR(VLOOKUP(Charges!M234,Paramètres!$A$15:$B$18,2,FALSE),0))),0)),0)</f>
        <v>0</v>
      </c>
      <c r="M234" t="n">
        <f>IF(9&lt;=Paramètres!$B$9,MAX(0,IFERROR(N(IF(ISNUMBER(Charges!N234),MAX(0,Charges!N234),IFERROR(VLOOKUP(Charges!N234,Paramètres!$A$15:$B$18,2,FALSE),0))),0)),0)</f>
        <v>0</v>
      </c>
      <c r="N234" t="n">
        <f>IF(10&lt;=Paramètres!$B$9,MAX(0,IFERROR(N(IF(ISNUMBER(Charges!O234),MAX(0,Charges!O234),IFERROR(VLOOKUP(Charges!O234,Paramètres!$A$15:$B$18,2,FALSE),0))),0)),0)</f>
        <v>0</v>
      </c>
      <c r="O234" t="n">
        <f>IF(11&lt;=Paramètres!$B$9,MAX(0,IFERROR(N(IF(ISNUMBER(Charges!P234),MAX(0,Charges!P234),IFERROR(VLOOKUP(Charges!P234,Paramètres!$A$15:$B$18,2,FALSE),0))),0)),0)</f>
        <v>0</v>
      </c>
      <c r="P234" t="n">
        <f>IF(12&lt;=Paramètres!$B$9,MAX(0,IFERROR(N(IF(ISNUMBER(Charges!Q234),MAX(0,Charges!Q234),IFERROR(VLOOKUP(Charges!Q234,Paramètres!$A$15:$B$18,2,FALSE),0))),0)),0)</f>
        <v>0</v>
      </c>
      <c r="Q234" t="n">
        <f>IF(13&lt;=Paramètres!$B$9,MAX(0,IFERROR(N(IF(ISNUMBER(Charges!R234),MAX(0,Charges!R234),IFERROR(VLOOKUP(Charges!R234,Paramètres!$A$15:$B$18,2,FALSE),0))),0)),0)</f>
        <v>0</v>
      </c>
      <c r="R234" t="n">
        <f>SUM(E234:Q234)</f>
        <v>0</v>
      </c>
      <c r="S234" t="n">
        <f>IF(IFERROR(VLOOKUP(A234,'Projets'!$A$8:$Z$67,7,FALSE),"")="Engager",1,0)</f>
        <v>0</v>
      </c>
      <c r="T234" t="n">
        <f>IF(OR(Charges!F234="",AND(ISNUMBER(Charges!F234),Charges!F234&gt;=0),Charges!F234="S",Charges!F234="M",Charges!F234="L",Charges!F234="XL"),0,1)+IF(OR(Charges!G234="",AND(ISNUMBER(Charges!G234),Charges!G234&gt;=0),Charges!G234="S",Charges!G234="M",Charges!G234="L",Charges!G234="XL"),0,1)+IF(OR(Charges!H234="",AND(ISNUMBER(Charges!H234),Charges!H234&gt;=0),Charges!H234="S",Charges!H234="M",Charges!H234="L",Charges!H234="XL"),0,1)+IF(OR(Charges!I234="",AND(ISNUMBER(Charges!I234),Charges!I234&gt;=0),Charges!I234="S",Charges!I234="M",Charges!I234="L",Charges!I234="XL"),0,1)+IF(OR(Charges!J234="",AND(ISNUMBER(Charges!J234),Charges!J234&gt;=0),Charges!J234="S",Charges!J234="M",Charges!J234="L",Charges!J234="XL"),0,1)+IF(OR(Charges!K234="",AND(ISNUMBER(Charges!K234),Charges!K234&gt;=0),Charges!K234="S",Charges!K234="M",Charges!K234="L",Charges!K234="XL"),0,1)+IF(OR(Charges!L234="",AND(ISNUMBER(Charges!L234),Charges!L234&gt;=0),Charges!L234="S",Charges!L234="M",Charges!L234="L",Charges!L234="XL"),0,1)+IF(OR(Charges!M234="",AND(ISNUMBER(Charges!M234),Charges!M234&gt;=0),Charges!M234="S",Charges!M234="M",Charges!M234="L",Charges!M234="XL"),0,1)+IF(OR(Charges!N234="",AND(ISNUMBER(Charges!N234),Charges!N234&gt;=0),Charges!N234="S",Charges!N234="M",Charges!N234="L",Charges!N234="XL"),0,1)+IF(OR(Charges!O234="",AND(ISNUMBER(Charges!O234),Charges!O234&gt;=0),Charges!O234="S",Charges!O234="M",Charges!O234="L",Charges!O234="XL"),0,1)+IF(OR(Charges!P234="",AND(ISNUMBER(Charges!P234),Charges!P234&gt;=0),Charges!P234="S",Charges!P234="M",Charges!P234="L",Charges!P234="XL"),0,1)+IF(OR(Charges!Q234="",AND(ISNUMBER(Charges!Q234),Charges!Q234&gt;=0),Charges!Q234="S",Charges!Q234="M",Charges!Q234="L",Charges!Q234="XL"),0,1)+IF(OR(Charges!R234="",AND(ISNUMBER(Charges!R234),Charges!R234&gt;=0),Charges!R234="S",Charges!R234="M",Charges!R234="L",Charges!R234="XL"),0,1)</f>
        <v>0</v>
      </c>
      <c r="U234" t="n">
        <f>IF(AND(1&gt;Paramètres!$B$9,Charges!F234&lt;&gt;"",Charges!F234&lt;&gt;0),1,0)+IF(AND(2&gt;Paramètres!$B$9,Charges!G234&lt;&gt;"",Charges!G234&lt;&gt;0),1,0)+IF(AND(3&gt;Paramètres!$B$9,Charges!H234&lt;&gt;"",Charges!H234&lt;&gt;0),1,0)+IF(AND(4&gt;Paramètres!$B$9,Charges!I234&lt;&gt;"",Charges!I234&lt;&gt;0),1,0)+IF(AND(5&gt;Paramètres!$B$9,Charges!J234&lt;&gt;"",Charges!J234&lt;&gt;0),1,0)+IF(AND(6&gt;Paramètres!$B$9,Charges!K234&lt;&gt;"",Charges!K234&lt;&gt;0),1,0)+IF(AND(7&gt;Paramètres!$B$9,Charges!L234&lt;&gt;"",Charges!L234&lt;&gt;0),1,0)+IF(AND(8&gt;Paramètres!$B$9,Charges!M234&lt;&gt;"",Charges!M234&lt;&gt;0),1,0)+IF(AND(9&gt;Paramètres!$B$9,Charges!N234&lt;&gt;"",Charges!N234&lt;&gt;0),1,0)+IF(AND(10&gt;Paramètres!$B$9,Charges!O234&lt;&gt;"",Charges!O234&lt;&gt;0),1,0)+IF(AND(11&gt;Paramètres!$B$9,Charges!P234&lt;&gt;"",Charges!P234&lt;&gt;0),1,0)+IF(AND(12&gt;Paramètres!$B$9,Charges!Q234&lt;&gt;"",Charges!Q234&lt;&gt;0),1,0)+IF(AND(13&gt;Paramètres!$B$9,Charges!R234&lt;&gt;"",Charges!R234&lt;&gt;0),1,0)</f>
        <v>0</v>
      </c>
      <c r="V234" t="n">
        <f>IF(IFERROR(VLOOKUP(A234,'Projets'!$A$8:$Z$67,5,FALSE),"")="Engager",1,0)</f>
        <v>0</v>
      </c>
      <c r="W234" t="n">
        <f>IF(IFERROR(VLOOKUP(A234,'Projets'!$A$8:$Z$67,6,FALSE),"")="Engager",1,0)</f>
        <v>0</v>
      </c>
      <c r="X234" t="n">
        <f>E234*S234</f>
        <v>0</v>
      </c>
      <c r="Y234" t="n">
        <f>F234*S234</f>
        <v>0</v>
      </c>
      <c r="Z234" t="n">
        <f>G234*S234</f>
        <v>0</v>
      </c>
      <c r="AA234" t="n">
        <f>H234*S234</f>
        <v>0</v>
      </c>
      <c r="AB234" t="n">
        <f>I234*S234</f>
        <v>0</v>
      </c>
      <c r="AC234" t="n">
        <f>J234*S234</f>
        <v>0</v>
      </c>
      <c r="AD234" t="n">
        <f>K234*S234</f>
        <v>0</v>
      </c>
      <c r="AE234" t="n">
        <f>L234*S234</f>
        <v>0</v>
      </c>
      <c r="AF234" t="n">
        <f>M234*S234</f>
        <v>0</v>
      </c>
      <c r="AG234" t="n">
        <f>N234*S234</f>
        <v>0</v>
      </c>
      <c r="AH234" t="n">
        <f>O234*S234</f>
        <v>0</v>
      </c>
      <c r="AI234" t="n">
        <f>P234*S234</f>
        <v>0</v>
      </c>
      <c r="AJ234" t="n">
        <f>Q234*S234</f>
        <v>0</v>
      </c>
      <c r="AK234" t="n">
        <f>E234*V234</f>
        <v>0</v>
      </c>
      <c r="AL234" t="n">
        <f>F234*V234</f>
        <v>0</v>
      </c>
      <c r="AM234" t="n">
        <f>G234*V234</f>
        <v>0</v>
      </c>
      <c r="AN234" t="n">
        <f>H234*V234</f>
        <v>0</v>
      </c>
      <c r="AO234" t="n">
        <f>I234*V234</f>
        <v>0</v>
      </c>
      <c r="AP234" t="n">
        <f>J234*V234</f>
        <v>0</v>
      </c>
      <c r="AQ234" t="n">
        <f>K234*V234</f>
        <v>0</v>
      </c>
      <c r="AR234" t="n">
        <f>L234*V234</f>
        <v>0</v>
      </c>
      <c r="AS234" t="n">
        <f>M234*V234</f>
        <v>0</v>
      </c>
      <c r="AT234" t="n">
        <f>N234*V234</f>
        <v>0</v>
      </c>
      <c r="AU234" t="n">
        <f>O234*V234</f>
        <v>0</v>
      </c>
      <c r="AV234" t="n">
        <f>P234*V234</f>
        <v>0</v>
      </c>
      <c r="AW234" t="n">
        <f>Q234*V234</f>
        <v>0</v>
      </c>
      <c r="AX234" t="n">
        <f>E234*W234</f>
        <v>0</v>
      </c>
      <c r="AY234" t="n">
        <f>F234*W234</f>
        <v>0</v>
      </c>
      <c r="AZ234" t="n">
        <f>G234*W234</f>
        <v>0</v>
      </c>
      <c r="BA234" t="n">
        <f>H234*W234</f>
        <v>0</v>
      </c>
      <c r="BB234" t="n">
        <f>I234*W234</f>
        <v>0</v>
      </c>
      <c r="BC234" t="n">
        <f>J234*W234</f>
        <v>0</v>
      </c>
      <c r="BD234" t="n">
        <f>K234*W234</f>
        <v>0</v>
      </c>
      <c r="BE234" t="n">
        <f>L234*W234</f>
        <v>0</v>
      </c>
      <c r="BF234" t="n">
        <f>M234*W234</f>
        <v>0</v>
      </c>
      <c r="BG234" t="n">
        <f>N234*W234</f>
        <v>0</v>
      </c>
      <c r="BH234" t="n">
        <f>O234*W234</f>
        <v>0</v>
      </c>
      <c r="BI234" t="n">
        <f>P234*W234</f>
        <v>0</v>
      </c>
      <c r="BJ234" t="n">
        <f>Q234*W234</f>
        <v>0</v>
      </c>
    </row>
    <row r="235">
      <c r="A235" t="n">
        <f>Charges!A235</f>
        <v>0</v>
      </c>
      <c r="B235" t="n">
        <f>Charges!C235</f>
        <v>0</v>
      </c>
      <c r="C235" t="str">
        <f>Charges!D235</f>
        <v/>
      </c>
      <c r="E235" t="n">
        <f>IF(1&lt;=Paramètres!$B$9,MAX(0,IFERROR(N(IF(ISNUMBER(Charges!F235),MAX(0,Charges!F235),IFERROR(VLOOKUP(Charges!F235,Paramètres!$A$15:$B$18,2,FALSE),0))),0)),0)</f>
        <v>0</v>
      </c>
      <c r="F235" t="n">
        <f>IF(2&lt;=Paramètres!$B$9,MAX(0,IFERROR(N(IF(ISNUMBER(Charges!G235),MAX(0,Charges!G235),IFERROR(VLOOKUP(Charges!G235,Paramètres!$A$15:$B$18,2,FALSE),0))),0)),0)</f>
        <v>0</v>
      </c>
      <c r="G235" t="n">
        <f>IF(3&lt;=Paramètres!$B$9,MAX(0,IFERROR(N(IF(ISNUMBER(Charges!H235),MAX(0,Charges!H235),IFERROR(VLOOKUP(Charges!H235,Paramètres!$A$15:$B$18,2,FALSE),0))),0)),0)</f>
        <v>0</v>
      </c>
      <c r="H235" t="n">
        <f>IF(4&lt;=Paramètres!$B$9,MAX(0,IFERROR(N(IF(ISNUMBER(Charges!I235),MAX(0,Charges!I235),IFERROR(VLOOKUP(Charges!I235,Paramètres!$A$15:$B$18,2,FALSE),0))),0)),0)</f>
        <v>0</v>
      </c>
      <c r="I235" t="n">
        <f>IF(5&lt;=Paramètres!$B$9,MAX(0,IFERROR(N(IF(ISNUMBER(Charges!J235),MAX(0,Charges!J235),IFERROR(VLOOKUP(Charges!J235,Paramètres!$A$15:$B$18,2,FALSE),0))),0)),0)</f>
        <v>0</v>
      </c>
      <c r="J235" t="n">
        <f>IF(6&lt;=Paramètres!$B$9,MAX(0,IFERROR(N(IF(ISNUMBER(Charges!K235),MAX(0,Charges!K235),IFERROR(VLOOKUP(Charges!K235,Paramètres!$A$15:$B$18,2,FALSE),0))),0)),0)</f>
        <v>0</v>
      </c>
      <c r="K235" t="n">
        <f>IF(7&lt;=Paramètres!$B$9,MAX(0,IFERROR(N(IF(ISNUMBER(Charges!L235),MAX(0,Charges!L235),IFERROR(VLOOKUP(Charges!L235,Paramètres!$A$15:$B$18,2,FALSE),0))),0)),0)</f>
        <v>0</v>
      </c>
      <c r="L235" t="n">
        <f>IF(8&lt;=Paramètres!$B$9,MAX(0,IFERROR(N(IF(ISNUMBER(Charges!M235),MAX(0,Charges!M235),IFERROR(VLOOKUP(Charges!M235,Paramètres!$A$15:$B$18,2,FALSE),0))),0)),0)</f>
        <v>0</v>
      </c>
      <c r="M235" t="n">
        <f>IF(9&lt;=Paramètres!$B$9,MAX(0,IFERROR(N(IF(ISNUMBER(Charges!N235),MAX(0,Charges!N235),IFERROR(VLOOKUP(Charges!N235,Paramètres!$A$15:$B$18,2,FALSE),0))),0)),0)</f>
        <v>0</v>
      </c>
      <c r="N235" t="n">
        <f>IF(10&lt;=Paramètres!$B$9,MAX(0,IFERROR(N(IF(ISNUMBER(Charges!O235),MAX(0,Charges!O235),IFERROR(VLOOKUP(Charges!O235,Paramètres!$A$15:$B$18,2,FALSE),0))),0)),0)</f>
        <v>0</v>
      </c>
      <c r="O235" t="n">
        <f>IF(11&lt;=Paramètres!$B$9,MAX(0,IFERROR(N(IF(ISNUMBER(Charges!P235),MAX(0,Charges!P235),IFERROR(VLOOKUP(Charges!P235,Paramètres!$A$15:$B$18,2,FALSE),0))),0)),0)</f>
        <v>0</v>
      </c>
      <c r="P235" t="n">
        <f>IF(12&lt;=Paramètres!$B$9,MAX(0,IFERROR(N(IF(ISNUMBER(Charges!Q235),MAX(0,Charges!Q235),IFERROR(VLOOKUP(Charges!Q235,Paramètres!$A$15:$B$18,2,FALSE),0))),0)),0)</f>
        <v>0</v>
      </c>
      <c r="Q235" t="n">
        <f>IF(13&lt;=Paramètres!$B$9,MAX(0,IFERROR(N(IF(ISNUMBER(Charges!R235),MAX(0,Charges!R235),IFERROR(VLOOKUP(Charges!R235,Paramètres!$A$15:$B$18,2,FALSE),0))),0)),0)</f>
        <v>0</v>
      </c>
      <c r="R235" t="n">
        <f>SUM(E235:Q235)</f>
        <v>0</v>
      </c>
      <c r="S235" t="n">
        <f>IF(IFERROR(VLOOKUP(A235,'Projets'!$A$8:$Z$67,7,FALSE),"")="Engager",1,0)</f>
        <v>0</v>
      </c>
      <c r="T235" t="n">
        <f>IF(OR(Charges!F235="",AND(ISNUMBER(Charges!F235),Charges!F235&gt;=0),Charges!F235="S",Charges!F235="M",Charges!F235="L",Charges!F235="XL"),0,1)+IF(OR(Charges!G235="",AND(ISNUMBER(Charges!G235),Charges!G235&gt;=0),Charges!G235="S",Charges!G235="M",Charges!G235="L",Charges!G235="XL"),0,1)+IF(OR(Charges!H235="",AND(ISNUMBER(Charges!H235),Charges!H235&gt;=0),Charges!H235="S",Charges!H235="M",Charges!H235="L",Charges!H235="XL"),0,1)+IF(OR(Charges!I235="",AND(ISNUMBER(Charges!I235),Charges!I235&gt;=0),Charges!I235="S",Charges!I235="M",Charges!I235="L",Charges!I235="XL"),0,1)+IF(OR(Charges!J235="",AND(ISNUMBER(Charges!J235),Charges!J235&gt;=0),Charges!J235="S",Charges!J235="M",Charges!J235="L",Charges!J235="XL"),0,1)+IF(OR(Charges!K235="",AND(ISNUMBER(Charges!K235),Charges!K235&gt;=0),Charges!K235="S",Charges!K235="M",Charges!K235="L",Charges!K235="XL"),0,1)+IF(OR(Charges!L235="",AND(ISNUMBER(Charges!L235),Charges!L235&gt;=0),Charges!L235="S",Charges!L235="M",Charges!L235="L",Charges!L235="XL"),0,1)+IF(OR(Charges!M235="",AND(ISNUMBER(Charges!M235),Charges!M235&gt;=0),Charges!M235="S",Charges!M235="M",Charges!M235="L",Charges!M235="XL"),0,1)+IF(OR(Charges!N235="",AND(ISNUMBER(Charges!N235),Charges!N235&gt;=0),Charges!N235="S",Charges!N235="M",Charges!N235="L",Charges!N235="XL"),0,1)+IF(OR(Charges!O235="",AND(ISNUMBER(Charges!O235),Charges!O235&gt;=0),Charges!O235="S",Charges!O235="M",Charges!O235="L",Charges!O235="XL"),0,1)+IF(OR(Charges!P235="",AND(ISNUMBER(Charges!P235),Charges!P235&gt;=0),Charges!P235="S",Charges!P235="M",Charges!P235="L",Charges!P235="XL"),0,1)+IF(OR(Charges!Q235="",AND(ISNUMBER(Charges!Q235),Charges!Q235&gt;=0),Charges!Q235="S",Charges!Q235="M",Charges!Q235="L",Charges!Q235="XL"),0,1)+IF(OR(Charges!R235="",AND(ISNUMBER(Charges!R235),Charges!R235&gt;=0),Charges!R235="S",Charges!R235="M",Charges!R235="L",Charges!R235="XL"),0,1)</f>
        <v>0</v>
      </c>
      <c r="U235" t="n">
        <f>IF(AND(1&gt;Paramètres!$B$9,Charges!F235&lt;&gt;"",Charges!F235&lt;&gt;0),1,0)+IF(AND(2&gt;Paramètres!$B$9,Charges!G235&lt;&gt;"",Charges!G235&lt;&gt;0),1,0)+IF(AND(3&gt;Paramètres!$B$9,Charges!H235&lt;&gt;"",Charges!H235&lt;&gt;0),1,0)+IF(AND(4&gt;Paramètres!$B$9,Charges!I235&lt;&gt;"",Charges!I235&lt;&gt;0),1,0)+IF(AND(5&gt;Paramètres!$B$9,Charges!J235&lt;&gt;"",Charges!J235&lt;&gt;0),1,0)+IF(AND(6&gt;Paramètres!$B$9,Charges!K235&lt;&gt;"",Charges!K235&lt;&gt;0),1,0)+IF(AND(7&gt;Paramètres!$B$9,Charges!L235&lt;&gt;"",Charges!L235&lt;&gt;0),1,0)+IF(AND(8&gt;Paramètres!$B$9,Charges!M235&lt;&gt;"",Charges!M235&lt;&gt;0),1,0)+IF(AND(9&gt;Paramètres!$B$9,Charges!N235&lt;&gt;"",Charges!N235&lt;&gt;0),1,0)+IF(AND(10&gt;Paramètres!$B$9,Charges!O235&lt;&gt;"",Charges!O235&lt;&gt;0),1,0)+IF(AND(11&gt;Paramètres!$B$9,Charges!P235&lt;&gt;"",Charges!P235&lt;&gt;0),1,0)+IF(AND(12&gt;Paramètres!$B$9,Charges!Q235&lt;&gt;"",Charges!Q235&lt;&gt;0),1,0)+IF(AND(13&gt;Paramètres!$B$9,Charges!R235&lt;&gt;"",Charges!R235&lt;&gt;0),1,0)</f>
        <v>0</v>
      </c>
      <c r="V235" t="n">
        <f>IF(IFERROR(VLOOKUP(A235,'Projets'!$A$8:$Z$67,5,FALSE),"")="Engager",1,0)</f>
        <v>0</v>
      </c>
      <c r="W235" t="n">
        <f>IF(IFERROR(VLOOKUP(A235,'Projets'!$A$8:$Z$67,6,FALSE),"")="Engager",1,0)</f>
        <v>0</v>
      </c>
      <c r="X235" t="n">
        <f>E235*S235</f>
        <v>0</v>
      </c>
      <c r="Y235" t="n">
        <f>F235*S235</f>
        <v>0</v>
      </c>
      <c r="Z235" t="n">
        <f>G235*S235</f>
        <v>0</v>
      </c>
      <c r="AA235" t="n">
        <f>H235*S235</f>
        <v>0</v>
      </c>
      <c r="AB235" t="n">
        <f>I235*S235</f>
        <v>0</v>
      </c>
      <c r="AC235" t="n">
        <f>J235*S235</f>
        <v>0</v>
      </c>
      <c r="AD235" t="n">
        <f>K235*S235</f>
        <v>0</v>
      </c>
      <c r="AE235" t="n">
        <f>L235*S235</f>
        <v>0</v>
      </c>
      <c r="AF235" t="n">
        <f>M235*S235</f>
        <v>0</v>
      </c>
      <c r="AG235" t="n">
        <f>N235*S235</f>
        <v>0</v>
      </c>
      <c r="AH235" t="n">
        <f>O235*S235</f>
        <v>0</v>
      </c>
      <c r="AI235" t="n">
        <f>P235*S235</f>
        <v>0</v>
      </c>
      <c r="AJ235" t="n">
        <f>Q235*S235</f>
        <v>0</v>
      </c>
      <c r="AK235" t="n">
        <f>E235*V235</f>
        <v>0</v>
      </c>
      <c r="AL235" t="n">
        <f>F235*V235</f>
        <v>0</v>
      </c>
      <c r="AM235" t="n">
        <f>G235*V235</f>
        <v>0</v>
      </c>
      <c r="AN235" t="n">
        <f>H235*V235</f>
        <v>0</v>
      </c>
      <c r="AO235" t="n">
        <f>I235*V235</f>
        <v>0</v>
      </c>
      <c r="AP235" t="n">
        <f>J235*V235</f>
        <v>0</v>
      </c>
      <c r="AQ235" t="n">
        <f>K235*V235</f>
        <v>0</v>
      </c>
      <c r="AR235" t="n">
        <f>L235*V235</f>
        <v>0</v>
      </c>
      <c r="AS235" t="n">
        <f>M235*V235</f>
        <v>0</v>
      </c>
      <c r="AT235" t="n">
        <f>N235*V235</f>
        <v>0</v>
      </c>
      <c r="AU235" t="n">
        <f>O235*V235</f>
        <v>0</v>
      </c>
      <c r="AV235" t="n">
        <f>P235*V235</f>
        <v>0</v>
      </c>
      <c r="AW235" t="n">
        <f>Q235*V235</f>
        <v>0</v>
      </c>
      <c r="AX235" t="n">
        <f>E235*W235</f>
        <v>0</v>
      </c>
      <c r="AY235" t="n">
        <f>F235*W235</f>
        <v>0</v>
      </c>
      <c r="AZ235" t="n">
        <f>G235*W235</f>
        <v>0</v>
      </c>
      <c r="BA235" t="n">
        <f>H235*W235</f>
        <v>0</v>
      </c>
      <c r="BB235" t="n">
        <f>I235*W235</f>
        <v>0</v>
      </c>
      <c r="BC235" t="n">
        <f>J235*W235</f>
        <v>0</v>
      </c>
      <c r="BD235" t="n">
        <f>K235*W235</f>
        <v>0</v>
      </c>
      <c r="BE235" t="n">
        <f>L235*W235</f>
        <v>0</v>
      </c>
      <c r="BF235" t="n">
        <f>M235*W235</f>
        <v>0</v>
      </c>
      <c r="BG235" t="n">
        <f>N235*W235</f>
        <v>0</v>
      </c>
      <c r="BH235" t="n">
        <f>O235*W235</f>
        <v>0</v>
      </c>
      <c r="BI235" t="n">
        <f>P235*W235</f>
        <v>0</v>
      </c>
      <c r="BJ235" t="n">
        <f>Q235*W235</f>
        <v>0</v>
      </c>
    </row>
    <row r="236">
      <c r="A236" t="n">
        <f>Charges!A236</f>
        <v>0</v>
      </c>
      <c r="B236" t="n">
        <f>Charges!C236</f>
        <v>0</v>
      </c>
      <c r="C236" t="str">
        <f>Charges!D236</f>
        <v/>
      </c>
      <c r="E236" t="n">
        <f>IF(1&lt;=Paramètres!$B$9,MAX(0,IFERROR(N(IF(ISNUMBER(Charges!F236),MAX(0,Charges!F236),IFERROR(VLOOKUP(Charges!F236,Paramètres!$A$15:$B$18,2,FALSE),0))),0)),0)</f>
        <v>0</v>
      </c>
      <c r="F236" t="n">
        <f>IF(2&lt;=Paramètres!$B$9,MAX(0,IFERROR(N(IF(ISNUMBER(Charges!G236),MAX(0,Charges!G236),IFERROR(VLOOKUP(Charges!G236,Paramètres!$A$15:$B$18,2,FALSE),0))),0)),0)</f>
        <v>0</v>
      </c>
      <c r="G236" t="n">
        <f>IF(3&lt;=Paramètres!$B$9,MAX(0,IFERROR(N(IF(ISNUMBER(Charges!H236),MAX(0,Charges!H236),IFERROR(VLOOKUP(Charges!H236,Paramètres!$A$15:$B$18,2,FALSE),0))),0)),0)</f>
        <v>0</v>
      </c>
      <c r="H236" t="n">
        <f>IF(4&lt;=Paramètres!$B$9,MAX(0,IFERROR(N(IF(ISNUMBER(Charges!I236),MAX(0,Charges!I236),IFERROR(VLOOKUP(Charges!I236,Paramètres!$A$15:$B$18,2,FALSE),0))),0)),0)</f>
        <v>0</v>
      </c>
      <c r="I236" t="n">
        <f>IF(5&lt;=Paramètres!$B$9,MAX(0,IFERROR(N(IF(ISNUMBER(Charges!J236),MAX(0,Charges!J236),IFERROR(VLOOKUP(Charges!J236,Paramètres!$A$15:$B$18,2,FALSE),0))),0)),0)</f>
        <v>0</v>
      </c>
      <c r="J236" t="n">
        <f>IF(6&lt;=Paramètres!$B$9,MAX(0,IFERROR(N(IF(ISNUMBER(Charges!K236),MAX(0,Charges!K236),IFERROR(VLOOKUP(Charges!K236,Paramètres!$A$15:$B$18,2,FALSE),0))),0)),0)</f>
        <v>0</v>
      </c>
      <c r="K236" t="n">
        <f>IF(7&lt;=Paramètres!$B$9,MAX(0,IFERROR(N(IF(ISNUMBER(Charges!L236),MAX(0,Charges!L236),IFERROR(VLOOKUP(Charges!L236,Paramètres!$A$15:$B$18,2,FALSE),0))),0)),0)</f>
        <v>0</v>
      </c>
      <c r="L236" t="n">
        <f>IF(8&lt;=Paramètres!$B$9,MAX(0,IFERROR(N(IF(ISNUMBER(Charges!M236),MAX(0,Charges!M236),IFERROR(VLOOKUP(Charges!M236,Paramètres!$A$15:$B$18,2,FALSE),0))),0)),0)</f>
        <v>0</v>
      </c>
      <c r="M236" t="n">
        <f>IF(9&lt;=Paramètres!$B$9,MAX(0,IFERROR(N(IF(ISNUMBER(Charges!N236),MAX(0,Charges!N236),IFERROR(VLOOKUP(Charges!N236,Paramètres!$A$15:$B$18,2,FALSE),0))),0)),0)</f>
        <v>0</v>
      </c>
      <c r="N236" t="n">
        <f>IF(10&lt;=Paramètres!$B$9,MAX(0,IFERROR(N(IF(ISNUMBER(Charges!O236),MAX(0,Charges!O236),IFERROR(VLOOKUP(Charges!O236,Paramètres!$A$15:$B$18,2,FALSE),0))),0)),0)</f>
        <v>0</v>
      </c>
      <c r="O236" t="n">
        <f>IF(11&lt;=Paramètres!$B$9,MAX(0,IFERROR(N(IF(ISNUMBER(Charges!P236),MAX(0,Charges!P236),IFERROR(VLOOKUP(Charges!P236,Paramètres!$A$15:$B$18,2,FALSE),0))),0)),0)</f>
        <v>0</v>
      </c>
      <c r="P236" t="n">
        <f>IF(12&lt;=Paramètres!$B$9,MAX(0,IFERROR(N(IF(ISNUMBER(Charges!Q236),MAX(0,Charges!Q236),IFERROR(VLOOKUP(Charges!Q236,Paramètres!$A$15:$B$18,2,FALSE),0))),0)),0)</f>
        <v>0</v>
      </c>
      <c r="Q236" t="n">
        <f>IF(13&lt;=Paramètres!$B$9,MAX(0,IFERROR(N(IF(ISNUMBER(Charges!R236),MAX(0,Charges!R236),IFERROR(VLOOKUP(Charges!R236,Paramètres!$A$15:$B$18,2,FALSE),0))),0)),0)</f>
        <v>0</v>
      </c>
      <c r="R236" t="n">
        <f>SUM(E236:Q236)</f>
        <v>0</v>
      </c>
      <c r="S236" t="n">
        <f>IF(IFERROR(VLOOKUP(A236,'Projets'!$A$8:$Z$67,7,FALSE),"")="Engager",1,0)</f>
        <v>0</v>
      </c>
      <c r="T236" t="n">
        <f>IF(OR(Charges!F236="",AND(ISNUMBER(Charges!F236),Charges!F236&gt;=0),Charges!F236="S",Charges!F236="M",Charges!F236="L",Charges!F236="XL"),0,1)+IF(OR(Charges!G236="",AND(ISNUMBER(Charges!G236),Charges!G236&gt;=0),Charges!G236="S",Charges!G236="M",Charges!G236="L",Charges!G236="XL"),0,1)+IF(OR(Charges!H236="",AND(ISNUMBER(Charges!H236),Charges!H236&gt;=0),Charges!H236="S",Charges!H236="M",Charges!H236="L",Charges!H236="XL"),0,1)+IF(OR(Charges!I236="",AND(ISNUMBER(Charges!I236),Charges!I236&gt;=0),Charges!I236="S",Charges!I236="M",Charges!I236="L",Charges!I236="XL"),0,1)+IF(OR(Charges!J236="",AND(ISNUMBER(Charges!J236),Charges!J236&gt;=0),Charges!J236="S",Charges!J236="M",Charges!J236="L",Charges!J236="XL"),0,1)+IF(OR(Charges!K236="",AND(ISNUMBER(Charges!K236),Charges!K236&gt;=0),Charges!K236="S",Charges!K236="M",Charges!K236="L",Charges!K236="XL"),0,1)+IF(OR(Charges!L236="",AND(ISNUMBER(Charges!L236),Charges!L236&gt;=0),Charges!L236="S",Charges!L236="M",Charges!L236="L",Charges!L236="XL"),0,1)+IF(OR(Charges!M236="",AND(ISNUMBER(Charges!M236),Charges!M236&gt;=0),Charges!M236="S",Charges!M236="M",Charges!M236="L",Charges!M236="XL"),0,1)+IF(OR(Charges!N236="",AND(ISNUMBER(Charges!N236),Charges!N236&gt;=0),Charges!N236="S",Charges!N236="M",Charges!N236="L",Charges!N236="XL"),0,1)+IF(OR(Charges!O236="",AND(ISNUMBER(Charges!O236),Charges!O236&gt;=0),Charges!O236="S",Charges!O236="M",Charges!O236="L",Charges!O236="XL"),0,1)+IF(OR(Charges!P236="",AND(ISNUMBER(Charges!P236),Charges!P236&gt;=0),Charges!P236="S",Charges!P236="M",Charges!P236="L",Charges!P236="XL"),0,1)+IF(OR(Charges!Q236="",AND(ISNUMBER(Charges!Q236),Charges!Q236&gt;=0),Charges!Q236="S",Charges!Q236="M",Charges!Q236="L",Charges!Q236="XL"),0,1)+IF(OR(Charges!R236="",AND(ISNUMBER(Charges!R236),Charges!R236&gt;=0),Charges!R236="S",Charges!R236="M",Charges!R236="L",Charges!R236="XL"),0,1)</f>
        <v>0</v>
      </c>
      <c r="U236" t="n">
        <f>IF(AND(1&gt;Paramètres!$B$9,Charges!F236&lt;&gt;"",Charges!F236&lt;&gt;0),1,0)+IF(AND(2&gt;Paramètres!$B$9,Charges!G236&lt;&gt;"",Charges!G236&lt;&gt;0),1,0)+IF(AND(3&gt;Paramètres!$B$9,Charges!H236&lt;&gt;"",Charges!H236&lt;&gt;0),1,0)+IF(AND(4&gt;Paramètres!$B$9,Charges!I236&lt;&gt;"",Charges!I236&lt;&gt;0),1,0)+IF(AND(5&gt;Paramètres!$B$9,Charges!J236&lt;&gt;"",Charges!J236&lt;&gt;0),1,0)+IF(AND(6&gt;Paramètres!$B$9,Charges!K236&lt;&gt;"",Charges!K236&lt;&gt;0),1,0)+IF(AND(7&gt;Paramètres!$B$9,Charges!L236&lt;&gt;"",Charges!L236&lt;&gt;0),1,0)+IF(AND(8&gt;Paramètres!$B$9,Charges!M236&lt;&gt;"",Charges!M236&lt;&gt;0),1,0)+IF(AND(9&gt;Paramètres!$B$9,Charges!N236&lt;&gt;"",Charges!N236&lt;&gt;0),1,0)+IF(AND(10&gt;Paramètres!$B$9,Charges!O236&lt;&gt;"",Charges!O236&lt;&gt;0),1,0)+IF(AND(11&gt;Paramètres!$B$9,Charges!P236&lt;&gt;"",Charges!P236&lt;&gt;0),1,0)+IF(AND(12&gt;Paramètres!$B$9,Charges!Q236&lt;&gt;"",Charges!Q236&lt;&gt;0),1,0)+IF(AND(13&gt;Paramètres!$B$9,Charges!R236&lt;&gt;"",Charges!R236&lt;&gt;0),1,0)</f>
        <v>0</v>
      </c>
      <c r="V236" t="n">
        <f>IF(IFERROR(VLOOKUP(A236,'Projets'!$A$8:$Z$67,5,FALSE),"")="Engager",1,0)</f>
        <v>0</v>
      </c>
      <c r="W236" t="n">
        <f>IF(IFERROR(VLOOKUP(A236,'Projets'!$A$8:$Z$67,6,FALSE),"")="Engager",1,0)</f>
        <v>0</v>
      </c>
      <c r="X236" t="n">
        <f>E236*S236</f>
        <v>0</v>
      </c>
      <c r="Y236" t="n">
        <f>F236*S236</f>
        <v>0</v>
      </c>
      <c r="Z236" t="n">
        <f>G236*S236</f>
        <v>0</v>
      </c>
      <c r="AA236" t="n">
        <f>H236*S236</f>
        <v>0</v>
      </c>
      <c r="AB236" t="n">
        <f>I236*S236</f>
        <v>0</v>
      </c>
      <c r="AC236" t="n">
        <f>J236*S236</f>
        <v>0</v>
      </c>
      <c r="AD236" t="n">
        <f>K236*S236</f>
        <v>0</v>
      </c>
      <c r="AE236" t="n">
        <f>L236*S236</f>
        <v>0</v>
      </c>
      <c r="AF236" t="n">
        <f>M236*S236</f>
        <v>0</v>
      </c>
      <c r="AG236" t="n">
        <f>N236*S236</f>
        <v>0</v>
      </c>
      <c r="AH236" t="n">
        <f>O236*S236</f>
        <v>0</v>
      </c>
      <c r="AI236" t="n">
        <f>P236*S236</f>
        <v>0</v>
      </c>
      <c r="AJ236" t="n">
        <f>Q236*S236</f>
        <v>0</v>
      </c>
      <c r="AK236" t="n">
        <f>E236*V236</f>
        <v>0</v>
      </c>
      <c r="AL236" t="n">
        <f>F236*V236</f>
        <v>0</v>
      </c>
      <c r="AM236" t="n">
        <f>G236*V236</f>
        <v>0</v>
      </c>
      <c r="AN236" t="n">
        <f>H236*V236</f>
        <v>0</v>
      </c>
      <c r="AO236" t="n">
        <f>I236*V236</f>
        <v>0</v>
      </c>
      <c r="AP236" t="n">
        <f>J236*V236</f>
        <v>0</v>
      </c>
      <c r="AQ236" t="n">
        <f>K236*V236</f>
        <v>0</v>
      </c>
      <c r="AR236" t="n">
        <f>L236*V236</f>
        <v>0</v>
      </c>
      <c r="AS236" t="n">
        <f>M236*V236</f>
        <v>0</v>
      </c>
      <c r="AT236" t="n">
        <f>N236*V236</f>
        <v>0</v>
      </c>
      <c r="AU236" t="n">
        <f>O236*V236</f>
        <v>0</v>
      </c>
      <c r="AV236" t="n">
        <f>P236*V236</f>
        <v>0</v>
      </c>
      <c r="AW236" t="n">
        <f>Q236*V236</f>
        <v>0</v>
      </c>
      <c r="AX236" t="n">
        <f>E236*W236</f>
        <v>0</v>
      </c>
      <c r="AY236" t="n">
        <f>F236*W236</f>
        <v>0</v>
      </c>
      <c r="AZ236" t="n">
        <f>G236*W236</f>
        <v>0</v>
      </c>
      <c r="BA236" t="n">
        <f>H236*W236</f>
        <v>0</v>
      </c>
      <c r="BB236" t="n">
        <f>I236*W236</f>
        <v>0</v>
      </c>
      <c r="BC236" t="n">
        <f>J236*W236</f>
        <v>0</v>
      </c>
      <c r="BD236" t="n">
        <f>K236*W236</f>
        <v>0</v>
      </c>
      <c r="BE236" t="n">
        <f>L236*W236</f>
        <v>0</v>
      </c>
      <c r="BF236" t="n">
        <f>M236*W236</f>
        <v>0</v>
      </c>
      <c r="BG236" t="n">
        <f>N236*W236</f>
        <v>0</v>
      </c>
      <c r="BH236" t="n">
        <f>O236*W236</f>
        <v>0</v>
      </c>
      <c r="BI236" t="n">
        <f>P236*W236</f>
        <v>0</v>
      </c>
      <c r="BJ236" t="n">
        <f>Q236*W236</f>
        <v>0</v>
      </c>
    </row>
    <row r="237">
      <c r="A237" t="n">
        <f>Charges!A237</f>
        <v>0</v>
      </c>
      <c r="B237" t="n">
        <f>Charges!C237</f>
        <v>0</v>
      </c>
      <c r="C237" t="str">
        <f>Charges!D237</f>
        <v/>
      </c>
      <c r="E237" t="n">
        <f>IF(1&lt;=Paramètres!$B$9,MAX(0,IFERROR(N(IF(ISNUMBER(Charges!F237),MAX(0,Charges!F237),IFERROR(VLOOKUP(Charges!F237,Paramètres!$A$15:$B$18,2,FALSE),0))),0)),0)</f>
        <v>0</v>
      </c>
      <c r="F237" t="n">
        <f>IF(2&lt;=Paramètres!$B$9,MAX(0,IFERROR(N(IF(ISNUMBER(Charges!G237),MAX(0,Charges!G237),IFERROR(VLOOKUP(Charges!G237,Paramètres!$A$15:$B$18,2,FALSE),0))),0)),0)</f>
        <v>0</v>
      </c>
      <c r="G237" t="n">
        <f>IF(3&lt;=Paramètres!$B$9,MAX(0,IFERROR(N(IF(ISNUMBER(Charges!H237),MAX(0,Charges!H237),IFERROR(VLOOKUP(Charges!H237,Paramètres!$A$15:$B$18,2,FALSE),0))),0)),0)</f>
        <v>0</v>
      </c>
      <c r="H237" t="n">
        <f>IF(4&lt;=Paramètres!$B$9,MAX(0,IFERROR(N(IF(ISNUMBER(Charges!I237),MAX(0,Charges!I237),IFERROR(VLOOKUP(Charges!I237,Paramètres!$A$15:$B$18,2,FALSE),0))),0)),0)</f>
        <v>0</v>
      </c>
      <c r="I237" t="n">
        <f>IF(5&lt;=Paramètres!$B$9,MAX(0,IFERROR(N(IF(ISNUMBER(Charges!J237),MAX(0,Charges!J237),IFERROR(VLOOKUP(Charges!J237,Paramètres!$A$15:$B$18,2,FALSE),0))),0)),0)</f>
        <v>0</v>
      </c>
      <c r="J237" t="n">
        <f>IF(6&lt;=Paramètres!$B$9,MAX(0,IFERROR(N(IF(ISNUMBER(Charges!K237),MAX(0,Charges!K237),IFERROR(VLOOKUP(Charges!K237,Paramètres!$A$15:$B$18,2,FALSE),0))),0)),0)</f>
        <v>0</v>
      </c>
      <c r="K237" t="n">
        <f>IF(7&lt;=Paramètres!$B$9,MAX(0,IFERROR(N(IF(ISNUMBER(Charges!L237),MAX(0,Charges!L237),IFERROR(VLOOKUP(Charges!L237,Paramètres!$A$15:$B$18,2,FALSE),0))),0)),0)</f>
        <v>0</v>
      </c>
      <c r="L237" t="n">
        <f>IF(8&lt;=Paramètres!$B$9,MAX(0,IFERROR(N(IF(ISNUMBER(Charges!M237),MAX(0,Charges!M237),IFERROR(VLOOKUP(Charges!M237,Paramètres!$A$15:$B$18,2,FALSE),0))),0)),0)</f>
        <v>0</v>
      </c>
      <c r="M237" t="n">
        <f>IF(9&lt;=Paramètres!$B$9,MAX(0,IFERROR(N(IF(ISNUMBER(Charges!N237),MAX(0,Charges!N237),IFERROR(VLOOKUP(Charges!N237,Paramètres!$A$15:$B$18,2,FALSE),0))),0)),0)</f>
        <v>0</v>
      </c>
      <c r="N237" t="n">
        <f>IF(10&lt;=Paramètres!$B$9,MAX(0,IFERROR(N(IF(ISNUMBER(Charges!O237),MAX(0,Charges!O237),IFERROR(VLOOKUP(Charges!O237,Paramètres!$A$15:$B$18,2,FALSE),0))),0)),0)</f>
        <v>0</v>
      </c>
      <c r="O237" t="n">
        <f>IF(11&lt;=Paramètres!$B$9,MAX(0,IFERROR(N(IF(ISNUMBER(Charges!P237),MAX(0,Charges!P237),IFERROR(VLOOKUP(Charges!P237,Paramètres!$A$15:$B$18,2,FALSE),0))),0)),0)</f>
        <v>0</v>
      </c>
      <c r="P237" t="n">
        <f>IF(12&lt;=Paramètres!$B$9,MAX(0,IFERROR(N(IF(ISNUMBER(Charges!Q237),MAX(0,Charges!Q237),IFERROR(VLOOKUP(Charges!Q237,Paramètres!$A$15:$B$18,2,FALSE),0))),0)),0)</f>
        <v>0</v>
      </c>
      <c r="Q237" t="n">
        <f>IF(13&lt;=Paramètres!$B$9,MAX(0,IFERROR(N(IF(ISNUMBER(Charges!R237),MAX(0,Charges!R237),IFERROR(VLOOKUP(Charges!R237,Paramètres!$A$15:$B$18,2,FALSE),0))),0)),0)</f>
        <v>0</v>
      </c>
      <c r="R237" t="n">
        <f>SUM(E237:Q237)</f>
        <v>0</v>
      </c>
      <c r="S237" t="n">
        <f>IF(IFERROR(VLOOKUP(A237,'Projets'!$A$8:$Z$67,7,FALSE),"")="Engager",1,0)</f>
        <v>0</v>
      </c>
      <c r="T237" t="n">
        <f>IF(OR(Charges!F237="",AND(ISNUMBER(Charges!F237),Charges!F237&gt;=0),Charges!F237="S",Charges!F237="M",Charges!F237="L",Charges!F237="XL"),0,1)+IF(OR(Charges!G237="",AND(ISNUMBER(Charges!G237),Charges!G237&gt;=0),Charges!G237="S",Charges!G237="M",Charges!G237="L",Charges!G237="XL"),0,1)+IF(OR(Charges!H237="",AND(ISNUMBER(Charges!H237),Charges!H237&gt;=0),Charges!H237="S",Charges!H237="M",Charges!H237="L",Charges!H237="XL"),0,1)+IF(OR(Charges!I237="",AND(ISNUMBER(Charges!I237),Charges!I237&gt;=0),Charges!I237="S",Charges!I237="M",Charges!I237="L",Charges!I237="XL"),0,1)+IF(OR(Charges!J237="",AND(ISNUMBER(Charges!J237),Charges!J237&gt;=0),Charges!J237="S",Charges!J237="M",Charges!J237="L",Charges!J237="XL"),0,1)+IF(OR(Charges!K237="",AND(ISNUMBER(Charges!K237),Charges!K237&gt;=0),Charges!K237="S",Charges!K237="M",Charges!K237="L",Charges!K237="XL"),0,1)+IF(OR(Charges!L237="",AND(ISNUMBER(Charges!L237),Charges!L237&gt;=0),Charges!L237="S",Charges!L237="M",Charges!L237="L",Charges!L237="XL"),0,1)+IF(OR(Charges!M237="",AND(ISNUMBER(Charges!M237),Charges!M237&gt;=0),Charges!M237="S",Charges!M237="M",Charges!M237="L",Charges!M237="XL"),0,1)+IF(OR(Charges!N237="",AND(ISNUMBER(Charges!N237),Charges!N237&gt;=0),Charges!N237="S",Charges!N237="M",Charges!N237="L",Charges!N237="XL"),0,1)+IF(OR(Charges!O237="",AND(ISNUMBER(Charges!O237),Charges!O237&gt;=0),Charges!O237="S",Charges!O237="M",Charges!O237="L",Charges!O237="XL"),0,1)+IF(OR(Charges!P237="",AND(ISNUMBER(Charges!P237),Charges!P237&gt;=0),Charges!P237="S",Charges!P237="M",Charges!P237="L",Charges!P237="XL"),0,1)+IF(OR(Charges!Q237="",AND(ISNUMBER(Charges!Q237),Charges!Q237&gt;=0),Charges!Q237="S",Charges!Q237="M",Charges!Q237="L",Charges!Q237="XL"),0,1)+IF(OR(Charges!R237="",AND(ISNUMBER(Charges!R237),Charges!R237&gt;=0),Charges!R237="S",Charges!R237="M",Charges!R237="L",Charges!R237="XL"),0,1)</f>
        <v>0</v>
      </c>
      <c r="U237" t="n">
        <f>IF(AND(1&gt;Paramètres!$B$9,Charges!F237&lt;&gt;"",Charges!F237&lt;&gt;0),1,0)+IF(AND(2&gt;Paramètres!$B$9,Charges!G237&lt;&gt;"",Charges!G237&lt;&gt;0),1,0)+IF(AND(3&gt;Paramètres!$B$9,Charges!H237&lt;&gt;"",Charges!H237&lt;&gt;0),1,0)+IF(AND(4&gt;Paramètres!$B$9,Charges!I237&lt;&gt;"",Charges!I237&lt;&gt;0),1,0)+IF(AND(5&gt;Paramètres!$B$9,Charges!J237&lt;&gt;"",Charges!J237&lt;&gt;0),1,0)+IF(AND(6&gt;Paramètres!$B$9,Charges!K237&lt;&gt;"",Charges!K237&lt;&gt;0),1,0)+IF(AND(7&gt;Paramètres!$B$9,Charges!L237&lt;&gt;"",Charges!L237&lt;&gt;0),1,0)+IF(AND(8&gt;Paramètres!$B$9,Charges!M237&lt;&gt;"",Charges!M237&lt;&gt;0),1,0)+IF(AND(9&gt;Paramètres!$B$9,Charges!N237&lt;&gt;"",Charges!N237&lt;&gt;0),1,0)+IF(AND(10&gt;Paramètres!$B$9,Charges!O237&lt;&gt;"",Charges!O237&lt;&gt;0),1,0)+IF(AND(11&gt;Paramètres!$B$9,Charges!P237&lt;&gt;"",Charges!P237&lt;&gt;0),1,0)+IF(AND(12&gt;Paramètres!$B$9,Charges!Q237&lt;&gt;"",Charges!Q237&lt;&gt;0),1,0)+IF(AND(13&gt;Paramètres!$B$9,Charges!R237&lt;&gt;"",Charges!R237&lt;&gt;0),1,0)</f>
        <v>0</v>
      </c>
      <c r="V237" t="n">
        <f>IF(IFERROR(VLOOKUP(A237,'Projets'!$A$8:$Z$67,5,FALSE),"")="Engager",1,0)</f>
        <v>0</v>
      </c>
      <c r="W237" t="n">
        <f>IF(IFERROR(VLOOKUP(A237,'Projets'!$A$8:$Z$67,6,FALSE),"")="Engager",1,0)</f>
        <v>0</v>
      </c>
      <c r="X237" t="n">
        <f>E237*S237</f>
        <v>0</v>
      </c>
      <c r="Y237" t="n">
        <f>F237*S237</f>
        <v>0</v>
      </c>
      <c r="Z237" t="n">
        <f>G237*S237</f>
        <v>0</v>
      </c>
      <c r="AA237" t="n">
        <f>H237*S237</f>
        <v>0</v>
      </c>
      <c r="AB237" t="n">
        <f>I237*S237</f>
        <v>0</v>
      </c>
      <c r="AC237" t="n">
        <f>J237*S237</f>
        <v>0</v>
      </c>
      <c r="AD237" t="n">
        <f>K237*S237</f>
        <v>0</v>
      </c>
      <c r="AE237" t="n">
        <f>L237*S237</f>
        <v>0</v>
      </c>
      <c r="AF237" t="n">
        <f>M237*S237</f>
        <v>0</v>
      </c>
      <c r="AG237" t="n">
        <f>N237*S237</f>
        <v>0</v>
      </c>
      <c r="AH237" t="n">
        <f>O237*S237</f>
        <v>0</v>
      </c>
      <c r="AI237" t="n">
        <f>P237*S237</f>
        <v>0</v>
      </c>
      <c r="AJ237" t="n">
        <f>Q237*S237</f>
        <v>0</v>
      </c>
      <c r="AK237" t="n">
        <f>E237*V237</f>
        <v>0</v>
      </c>
      <c r="AL237" t="n">
        <f>F237*V237</f>
        <v>0</v>
      </c>
      <c r="AM237" t="n">
        <f>G237*V237</f>
        <v>0</v>
      </c>
      <c r="AN237" t="n">
        <f>H237*V237</f>
        <v>0</v>
      </c>
      <c r="AO237" t="n">
        <f>I237*V237</f>
        <v>0</v>
      </c>
      <c r="AP237" t="n">
        <f>J237*V237</f>
        <v>0</v>
      </c>
      <c r="AQ237" t="n">
        <f>K237*V237</f>
        <v>0</v>
      </c>
      <c r="AR237" t="n">
        <f>L237*V237</f>
        <v>0</v>
      </c>
      <c r="AS237" t="n">
        <f>M237*V237</f>
        <v>0</v>
      </c>
      <c r="AT237" t="n">
        <f>N237*V237</f>
        <v>0</v>
      </c>
      <c r="AU237" t="n">
        <f>O237*V237</f>
        <v>0</v>
      </c>
      <c r="AV237" t="n">
        <f>P237*V237</f>
        <v>0</v>
      </c>
      <c r="AW237" t="n">
        <f>Q237*V237</f>
        <v>0</v>
      </c>
      <c r="AX237" t="n">
        <f>E237*W237</f>
        <v>0</v>
      </c>
      <c r="AY237" t="n">
        <f>F237*W237</f>
        <v>0</v>
      </c>
      <c r="AZ237" t="n">
        <f>G237*W237</f>
        <v>0</v>
      </c>
      <c r="BA237" t="n">
        <f>H237*W237</f>
        <v>0</v>
      </c>
      <c r="BB237" t="n">
        <f>I237*W237</f>
        <v>0</v>
      </c>
      <c r="BC237" t="n">
        <f>J237*W237</f>
        <v>0</v>
      </c>
      <c r="BD237" t="n">
        <f>K237*W237</f>
        <v>0</v>
      </c>
      <c r="BE237" t="n">
        <f>L237*W237</f>
        <v>0</v>
      </c>
      <c r="BF237" t="n">
        <f>M237*W237</f>
        <v>0</v>
      </c>
      <c r="BG237" t="n">
        <f>N237*W237</f>
        <v>0</v>
      </c>
      <c r="BH237" t="n">
        <f>O237*W237</f>
        <v>0</v>
      </c>
      <c r="BI237" t="n">
        <f>P237*W237</f>
        <v>0</v>
      </c>
      <c r="BJ237" t="n">
        <f>Q237*W237</f>
        <v>0</v>
      </c>
    </row>
    <row r="238">
      <c r="A238" t="n">
        <f>Charges!A238</f>
        <v>0</v>
      </c>
      <c r="B238" t="n">
        <f>Charges!C238</f>
        <v>0</v>
      </c>
      <c r="C238" t="str">
        <f>Charges!D238</f>
        <v/>
      </c>
      <c r="E238" t="n">
        <f>IF(1&lt;=Paramètres!$B$9,MAX(0,IFERROR(N(IF(ISNUMBER(Charges!F238),MAX(0,Charges!F238),IFERROR(VLOOKUP(Charges!F238,Paramètres!$A$15:$B$18,2,FALSE),0))),0)),0)</f>
        <v>0</v>
      </c>
      <c r="F238" t="n">
        <f>IF(2&lt;=Paramètres!$B$9,MAX(0,IFERROR(N(IF(ISNUMBER(Charges!G238),MAX(0,Charges!G238),IFERROR(VLOOKUP(Charges!G238,Paramètres!$A$15:$B$18,2,FALSE),0))),0)),0)</f>
        <v>0</v>
      </c>
      <c r="G238" t="n">
        <f>IF(3&lt;=Paramètres!$B$9,MAX(0,IFERROR(N(IF(ISNUMBER(Charges!H238),MAX(0,Charges!H238),IFERROR(VLOOKUP(Charges!H238,Paramètres!$A$15:$B$18,2,FALSE),0))),0)),0)</f>
        <v>0</v>
      </c>
      <c r="H238" t="n">
        <f>IF(4&lt;=Paramètres!$B$9,MAX(0,IFERROR(N(IF(ISNUMBER(Charges!I238),MAX(0,Charges!I238),IFERROR(VLOOKUP(Charges!I238,Paramètres!$A$15:$B$18,2,FALSE),0))),0)),0)</f>
        <v>0</v>
      </c>
      <c r="I238" t="n">
        <f>IF(5&lt;=Paramètres!$B$9,MAX(0,IFERROR(N(IF(ISNUMBER(Charges!J238),MAX(0,Charges!J238),IFERROR(VLOOKUP(Charges!J238,Paramètres!$A$15:$B$18,2,FALSE),0))),0)),0)</f>
        <v>0</v>
      </c>
      <c r="J238" t="n">
        <f>IF(6&lt;=Paramètres!$B$9,MAX(0,IFERROR(N(IF(ISNUMBER(Charges!K238),MAX(0,Charges!K238),IFERROR(VLOOKUP(Charges!K238,Paramètres!$A$15:$B$18,2,FALSE),0))),0)),0)</f>
        <v>0</v>
      </c>
      <c r="K238" t="n">
        <f>IF(7&lt;=Paramètres!$B$9,MAX(0,IFERROR(N(IF(ISNUMBER(Charges!L238),MAX(0,Charges!L238),IFERROR(VLOOKUP(Charges!L238,Paramètres!$A$15:$B$18,2,FALSE),0))),0)),0)</f>
        <v>0</v>
      </c>
      <c r="L238" t="n">
        <f>IF(8&lt;=Paramètres!$B$9,MAX(0,IFERROR(N(IF(ISNUMBER(Charges!M238),MAX(0,Charges!M238),IFERROR(VLOOKUP(Charges!M238,Paramètres!$A$15:$B$18,2,FALSE),0))),0)),0)</f>
        <v>0</v>
      </c>
      <c r="M238" t="n">
        <f>IF(9&lt;=Paramètres!$B$9,MAX(0,IFERROR(N(IF(ISNUMBER(Charges!N238),MAX(0,Charges!N238),IFERROR(VLOOKUP(Charges!N238,Paramètres!$A$15:$B$18,2,FALSE),0))),0)),0)</f>
        <v>0</v>
      </c>
      <c r="N238" t="n">
        <f>IF(10&lt;=Paramètres!$B$9,MAX(0,IFERROR(N(IF(ISNUMBER(Charges!O238),MAX(0,Charges!O238),IFERROR(VLOOKUP(Charges!O238,Paramètres!$A$15:$B$18,2,FALSE),0))),0)),0)</f>
        <v>0</v>
      </c>
      <c r="O238" t="n">
        <f>IF(11&lt;=Paramètres!$B$9,MAX(0,IFERROR(N(IF(ISNUMBER(Charges!P238),MAX(0,Charges!P238),IFERROR(VLOOKUP(Charges!P238,Paramètres!$A$15:$B$18,2,FALSE),0))),0)),0)</f>
        <v>0</v>
      </c>
      <c r="P238" t="n">
        <f>IF(12&lt;=Paramètres!$B$9,MAX(0,IFERROR(N(IF(ISNUMBER(Charges!Q238),MAX(0,Charges!Q238),IFERROR(VLOOKUP(Charges!Q238,Paramètres!$A$15:$B$18,2,FALSE),0))),0)),0)</f>
        <v>0</v>
      </c>
      <c r="Q238" t="n">
        <f>IF(13&lt;=Paramètres!$B$9,MAX(0,IFERROR(N(IF(ISNUMBER(Charges!R238),MAX(0,Charges!R238),IFERROR(VLOOKUP(Charges!R238,Paramètres!$A$15:$B$18,2,FALSE),0))),0)),0)</f>
        <v>0</v>
      </c>
      <c r="R238" t="n">
        <f>SUM(E238:Q238)</f>
        <v>0</v>
      </c>
      <c r="S238" t="n">
        <f>IF(IFERROR(VLOOKUP(A238,'Projets'!$A$8:$Z$67,7,FALSE),"")="Engager",1,0)</f>
        <v>0</v>
      </c>
      <c r="T238" t="n">
        <f>IF(OR(Charges!F238="",AND(ISNUMBER(Charges!F238),Charges!F238&gt;=0),Charges!F238="S",Charges!F238="M",Charges!F238="L",Charges!F238="XL"),0,1)+IF(OR(Charges!G238="",AND(ISNUMBER(Charges!G238),Charges!G238&gt;=0),Charges!G238="S",Charges!G238="M",Charges!G238="L",Charges!G238="XL"),0,1)+IF(OR(Charges!H238="",AND(ISNUMBER(Charges!H238),Charges!H238&gt;=0),Charges!H238="S",Charges!H238="M",Charges!H238="L",Charges!H238="XL"),0,1)+IF(OR(Charges!I238="",AND(ISNUMBER(Charges!I238),Charges!I238&gt;=0),Charges!I238="S",Charges!I238="M",Charges!I238="L",Charges!I238="XL"),0,1)+IF(OR(Charges!J238="",AND(ISNUMBER(Charges!J238),Charges!J238&gt;=0),Charges!J238="S",Charges!J238="M",Charges!J238="L",Charges!J238="XL"),0,1)+IF(OR(Charges!K238="",AND(ISNUMBER(Charges!K238),Charges!K238&gt;=0),Charges!K238="S",Charges!K238="M",Charges!K238="L",Charges!K238="XL"),0,1)+IF(OR(Charges!L238="",AND(ISNUMBER(Charges!L238),Charges!L238&gt;=0),Charges!L238="S",Charges!L238="M",Charges!L238="L",Charges!L238="XL"),0,1)+IF(OR(Charges!M238="",AND(ISNUMBER(Charges!M238),Charges!M238&gt;=0),Charges!M238="S",Charges!M238="M",Charges!M238="L",Charges!M238="XL"),0,1)+IF(OR(Charges!N238="",AND(ISNUMBER(Charges!N238),Charges!N238&gt;=0),Charges!N238="S",Charges!N238="M",Charges!N238="L",Charges!N238="XL"),0,1)+IF(OR(Charges!O238="",AND(ISNUMBER(Charges!O238),Charges!O238&gt;=0),Charges!O238="S",Charges!O238="M",Charges!O238="L",Charges!O238="XL"),0,1)+IF(OR(Charges!P238="",AND(ISNUMBER(Charges!P238),Charges!P238&gt;=0),Charges!P238="S",Charges!P238="M",Charges!P238="L",Charges!P238="XL"),0,1)+IF(OR(Charges!Q238="",AND(ISNUMBER(Charges!Q238),Charges!Q238&gt;=0),Charges!Q238="S",Charges!Q238="M",Charges!Q238="L",Charges!Q238="XL"),0,1)+IF(OR(Charges!R238="",AND(ISNUMBER(Charges!R238),Charges!R238&gt;=0),Charges!R238="S",Charges!R238="M",Charges!R238="L",Charges!R238="XL"),0,1)</f>
        <v>0</v>
      </c>
      <c r="U238" t="n">
        <f>IF(AND(1&gt;Paramètres!$B$9,Charges!F238&lt;&gt;"",Charges!F238&lt;&gt;0),1,0)+IF(AND(2&gt;Paramètres!$B$9,Charges!G238&lt;&gt;"",Charges!G238&lt;&gt;0),1,0)+IF(AND(3&gt;Paramètres!$B$9,Charges!H238&lt;&gt;"",Charges!H238&lt;&gt;0),1,0)+IF(AND(4&gt;Paramètres!$B$9,Charges!I238&lt;&gt;"",Charges!I238&lt;&gt;0),1,0)+IF(AND(5&gt;Paramètres!$B$9,Charges!J238&lt;&gt;"",Charges!J238&lt;&gt;0),1,0)+IF(AND(6&gt;Paramètres!$B$9,Charges!K238&lt;&gt;"",Charges!K238&lt;&gt;0),1,0)+IF(AND(7&gt;Paramètres!$B$9,Charges!L238&lt;&gt;"",Charges!L238&lt;&gt;0),1,0)+IF(AND(8&gt;Paramètres!$B$9,Charges!M238&lt;&gt;"",Charges!M238&lt;&gt;0),1,0)+IF(AND(9&gt;Paramètres!$B$9,Charges!N238&lt;&gt;"",Charges!N238&lt;&gt;0),1,0)+IF(AND(10&gt;Paramètres!$B$9,Charges!O238&lt;&gt;"",Charges!O238&lt;&gt;0),1,0)+IF(AND(11&gt;Paramètres!$B$9,Charges!P238&lt;&gt;"",Charges!P238&lt;&gt;0),1,0)+IF(AND(12&gt;Paramètres!$B$9,Charges!Q238&lt;&gt;"",Charges!Q238&lt;&gt;0),1,0)+IF(AND(13&gt;Paramètres!$B$9,Charges!R238&lt;&gt;"",Charges!R238&lt;&gt;0),1,0)</f>
        <v>0</v>
      </c>
      <c r="V238" t="n">
        <f>IF(IFERROR(VLOOKUP(A238,'Projets'!$A$8:$Z$67,5,FALSE),"")="Engager",1,0)</f>
        <v>0</v>
      </c>
      <c r="W238" t="n">
        <f>IF(IFERROR(VLOOKUP(A238,'Projets'!$A$8:$Z$67,6,FALSE),"")="Engager",1,0)</f>
        <v>0</v>
      </c>
      <c r="X238" t="n">
        <f>E238*S238</f>
        <v>0</v>
      </c>
      <c r="Y238" t="n">
        <f>F238*S238</f>
        <v>0</v>
      </c>
      <c r="Z238" t="n">
        <f>G238*S238</f>
        <v>0</v>
      </c>
      <c r="AA238" t="n">
        <f>H238*S238</f>
        <v>0</v>
      </c>
      <c r="AB238" t="n">
        <f>I238*S238</f>
        <v>0</v>
      </c>
      <c r="AC238" t="n">
        <f>J238*S238</f>
        <v>0</v>
      </c>
      <c r="AD238" t="n">
        <f>K238*S238</f>
        <v>0</v>
      </c>
      <c r="AE238" t="n">
        <f>L238*S238</f>
        <v>0</v>
      </c>
      <c r="AF238" t="n">
        <f>M238*S238</f>
        <v>0</v>
      </c>
      <c r="AG238" t="n">
        <f>N238*S238</f>
        <v>0</v>
      </c>
      <c r="AH238" t="n">
        <f>O238*S238</f>
        <v>0</v>
      </c>
      <c r="AI238" t="n">
        <f>P238*S238</f>
        <v>0</v>
      </c>
      <c r="AJ238" t="n">
        <f>Q238*S238</f>
        <v>0</v>
      </c>
      <c r="AK238" t="n">
        <f>E238*V238</f>
        <v>0</v>
      </c>
      <c r="AL238" t="n">
        <f>F238*V238</f>
        <v>0</v>
      </c>
      <c r="AM238" t="n">
        <f>G238*V238</f>
        <v>0</v>
      </c>
      <c r="AN238" t="n">
        <f>H238*V238</f>
        <v>0</v>
      </c>
      <c r="AO238" t="n">
        <f>I238*V238</f>
        <v>0</v>
      </c>
      <c r="AP238" t="n">
        <f>J238*V238</f>
        <v>0</v>
      </c>
      <c r="AQ238" t="n">
        <f>K238*V238</f>
        <v>0</v>
      </c>
      <c r="AR238" t="n">
        <f>L238*V238</f>
        <v>0</v>
      </c>
      <c r="AS238" t="n">
        <f>M238*V238</f>
        <v>0</v>
      </c>
      <c r="AT238" t="n">
        <f>N238*V238</f>
        <v>0</v>
      </c>
      <c r="AU238" t="n">
        <f>O238*V238</f>
        <v>0</v>
      </c>
      <c r="AV238" t="n">
        <f>P238*V238</f>
        <v>0</v>
      </c>
      <c r="AW238" t="n">
        <f>Q238*V238</f>
        <v>0</v>
      </c>
      <c r="AX238" t="n">
        <f>E238*W238</f>
        <v>0</v>
      </c>
      <c r="AY238" t="n">
        <f>F238*W238</f>
        <v>0</v>
      </c>
      <c r="AZ238" t="n">
        <f>G238*W238</f>
        <v>0</v>
      </c>
      <c r="BA238" t="n">
        <f>H238*W238</f>
        <v>0</v>
      </c>
      <c r="BB238" t="n">
        <f>I238*W238</f>
        <v>0</v>
      </c>
      <c r="BC238" t="n">
        <f>J238*W238</f>
        <v>0</v>
      </c>
      <c r="BD238" t="n">
        <f>K238*W238</f>
        <v>0</v>
      </c>
      <c r="BE238" t="n">
        <f>L238*W238</f>
        <v>0</v>
      </c>
      <c r="BF238" t="n">
        <f>M238*W238</f>
        <v>0</v>
      </c>
      <c r="BG238" t="n">
        <f>N238*W238</f>
        <v>0</v>
      </c>
      <c r="BH238" t="n">
        <f>O238*W238</f>
        <v>0</v>
      </c>
      <c r="BI238" t="n">
        <f>P238*W238</f>
        <v>0</v>
      </c>
      <c r="BJ238" t="n">
        <f>Q238*W238</f>
        <v>0</v>
      </c>
    </row>
    <row r="239">
      <c r="A239" t="n">
        <f>Charges!A239</f>
        <v>0</v>
      </c>
      <c r="B239" t="n">
        <f>Charges!C239</f>
        <v>0</v>
      </c>
      <c r="C239" t="str">
        <f>Charges!D239</f>
        <v/>
      </c>
      <c r="E239" t="n">
        <f>IF(1&lt;=Paramètres!$B$9,MAX(0,IFERROR(N(IF(ISNUMBER(Charges!F239),MAX(0,Charges!F239),IFERROR(VLOOKUP(Charges!F239,Paramètres!$A$15:$B$18,2,FALSE),0))),0)),0)</f>
        <v>0</v>
      </c>
      <c r="F239" t="n">
        <f>IF(2&lt;=Paramètres!$B$9,MAX(0,IFERROR(N(IF(ISNUMBER(Charges!G239),MAX(0,Charges!G239),IFERROR(VLOOKUP(Charges!G239,Paramètres!$A$15:$B$18,2,FALSE),0))),0)),0)</f>
        <v>0</v>
      </c>
      <c r="G239" t="n">
        <f>IF(3&lt;=Paramètres!$B$9,MAX(0,IFERROR(N(IF(ISNUMBER(Charges!H239),MAX(0,Charges!H239),IFERROR(VLOOKUP(Charges!H239,Paramètres!$A$15:$B$18,2,FALSE),0))),0)),0)</f>
        <v>0</v>
      </c>
      <c r="H239" t="n">
        <f>IF(4&lt;=Paramètres!$B$9,MAX(0,IFERROR(N(IF(ISNUMBER(Charges!I239),MAX(0,Charges!I239),IFERROR(VLOOKUP(Charges!I239,Paramètres!$A$15:$B$18,2,FALSE),0))),0)),0)</f>
        <v>0</v>
      </c>
      <c r="I239" t="n">
        <f>IF(5&lt;=Paramètres!$B$9,MAX(0,IFERROR(N(IF(ISNUMBER(Charges!J239),MAX(0,Charges!J239),IFERROR(VLOOKUP(Charges!J239,Paramètres!$A$15:$B$18,2,FALSE),0))),0)),0)</f>
        <v>0</v>
      </c>
      <c r="J239" t="n">
        <f>IF(6&lt;=Paramètres!$B$9,MAX(0,IFERROR(N(IF(ISNUMBER(Charges!K239),MAX(0,Charges!K239),IFERROR(VLOOKUP(Charges!K239,Paramètres!$A$15:$B$18,2,FALSE),0))),0)),0)</f>
        <v>0</v>
      </c>
      <c r="K239" t="n">
        <f>IF(7&lt;=Paramètres!$B$9,MAX(0,IFERROR(N(IF(ISNUMBER(Charges!L239),MAX(0,Charges!L239),IFERROR(VLOOKUP(Charges!L239,Paramètres!$A$15:$B$18,2,FALSE),0))),0)),0)</f>
        <v>0</v>
      </c>
      <c r="L239" t="n">
        <f>IF(8&lt;=Paramètres!$B$9,MAX(0,IFERROR(N(IF(ISNUMBER(Charges!M239),MAX(0,Charges!M239),IFERROR(VLOOKUP(Charges!M239,Paramètres!$A$15:$B$18,2,FALSE),0))),0)),0)</f>
        <v>0</v>
      </c>
      <c r="M239" t="n">
        <f>IF(9&lt;=Paramètres!$B$9,MAX(0,IFERROR(N(IF(ISNUMBER(Charges!N239),MAX(0,Charges!N239),IFERROR(VLOOKUP(Charges!N239,Paramètres!$A$15:$B$18,2,FALSE),0))),0)),0)</f>
        <v>0</v>
      </c>
      <c r="N239" t="n">
        <f>IF(10&lt;=Paramètres!$B$9,MAX(0,IFERROR(N(IF(ISNUMBER(Charges!O239),MAX(0,Charges!O239),IFERROR(VLOOKUP(Charges!O239,Paramètres!$A$15:$B$18,2,FALSE),0))),0)),0)</f>
        <v>0</v>
      </c>
      <c r="O239" t="n">
        <f>IF(11&lt;=Paramètres!$B$9,MAX(0,IFERROR(N(IF(ISNUMBER(Charges!P239),MAX(0,Charges!P239),IFERROR(VLOOKUP(Charges!P239,Paramètres!$A$15:$B$18,2,FALSE),0))),0)),0)</f>
        <v>0</v>
      </c>
      <c r="P239" t="n">
        <f>IF(12&lt;=Paramètres!$B$9,MAX(0,IFERROR(N(IF(ISNUMBER(Charges!Q239),MAX(0,Charges!Q239),IFERROR(VLOOKUP(Charges!Q239,Paramètres!$A$15:$B$18,2,FALSE),0))),0)),0)</f>
        <v>0</v>
      </c>
      <c r="Q239" t="n">
        <f>IF(13&lt;=Paramètres!$B$9,MAX(0,IFERROR(N(IF(ISNUMBER(Charges!R239),MAX(0,Charges!R239),IFERROR(VLOOKUP(Charges!R239,Paramètres!$A$15:$B$18,2,FALSE),0))),0)),0)</f>
        <v>0</v>
      </c>
      <c r="R239" t="n">
        <f>SUM(E239:Q239)</f>
        <v>0</v>
      </c>
      <c r="S239" t="n">
        <f>IF(IFERROR(VLOOKUP(A239,'Projets'!$A$8:$Z$67,7,FALSE),"")="Engager",1,0)</f>
        <v>0</v>
      </c>
      <c r="T239" t="n">
        <f>IF(OR(Charges!F239="",AND(ISNUMBER(Charges!F239),Charges!F239&gt;=0),Charges!F239="S",Charges!F239="M",Charges!F239="L",Charges!F239="XL"),0,1)+IF(OR(Charges!G239="",AND(ISNUMBER(Charges!G239),Charges!G239&gt;=0),Charges!G239="S",Charges!G239="M",Charges!G239="L",Charges!G239="XL"),0,1)+IF(OR(Charges!H239="",AND(ISNUMBER(Charges!H239),Charges!H239&gt;=0),Charges!H239="S",Charges!H239="M",Charges!H239="L",Charges!H239="XL"),0,1)+IF(OR(Charges!I239="",AND(ISNUMBER(Charges!I239),Charges!I239&gt;=0),Charges!I239="S",Charges!I239="M",Charges!I239="L",Charges!I239="XL"),0,1)+IF(OR(Charges!J239="",AND(ISNUMBER(Charges!J239),Charges!J239&gt;=0),Charges!J239="S",Charges!J239="M",Charges!J239="L",Charges!J239="XL"),0,1)+IF(OR(Charges!K239="",AND(ISNUMBER(Charges!K239),Charges!K239&gt;=0),Charges!K239="S",Charges!K239="M",Charges!K239="L",Charges!K239="XL"),0,1)+IF(OR(Charges!L239="",AND(ISNUMBER(Charges!L239),Charges!L239&gt;=0),Charges!L239="S",Charges!L239="M",Charges!L239="L",Charges!L239="XL"),0,1)+IF(OR(Charges!M239="",AND(ISNUMBER(Charges!M239),Charges!M239&gt;=0),Charges!M239="S",Charges!M239="M",Charges!M239="L",Charges!M239="XL"),0,1)+IF(OR(Charges!N239="",AND(ISNUMBER(Charges!N239),Charges!N239&gt;=0),Charges!N239="S",Charges!N239="M",Charges!N239="L",Charges!N239="XL"),0,1)+IF(OR(Charges!O239="",AND(ISNUMBER(Charges!O239),Charges!O239&gt;=0),Charges!O239="S",Charges!O239="M",Charges!O239="L",Charges!O239="XL"),0,1)+IF(OR(Charges!P239="",AND(ISNUMBER(Charges!P239),Charges!P239&gt;=0),Charges!P239="S",Charges!P239="M",Charges!P239="L",Charges!P239="XL"),0,1)+IF(OR(Charges!Q239="",AND(ISNUMBER(Charges!Q239),Charges!Q239&gt;=0),Charges!Q239="S",Charges!Q239="M",Charges!Q239="L",Charges!Q239="XL"),0,1)+IF(OR(Charges!R239="",AND(ISNUMBER(Charges!R239),Charges!R239&gt;=0),Charges!R239="S",Charges!R239="M",Charges!R239="L",Charges!R239="XL"),0,1)</f>
        <v>0</v>
      </c>
      <c r="U239" t="n">
        <f>IF(AND(1&gt;Paramètres!$B$9,Charges!F239&lt;&gt;"",Charges!F239&lt;&gt;0),1,0)+IF(AND(2&gt;Paramètres!$B$9,Charges!G239&lt;&gt;"",Charges!G239&lt;&gt;0),1,0)+IF(AND(3&gt;Paramètres!$B$9,Charges!H239&lt;&gt;"",Charges!H239&lt;&gt;0),1,0)+IF(AND(4&gt;Paramètres!$B$9,Charges!I239&lt;&gt;"",Charges!I239&lt;&gt;0),1,0)+IF(AND(5&gt;Paramètres!$B$9,Charges!J239&lt;&gt;"",Charges!J239&lt;&gt;0),1,0)+IF(AND(6&gt;Paramètres!$B$9,Charges!K239&lt;&gt;"",Charges!K239&lt;&gt;0),1,0)+IF(AND(7&gt;Paramètres!$B$9,Charges!L239&lt;&gt;"",Charges!L239&lt;&gt;0),1,0)+IF(AND(8&gt;Paramètres!$B$9,Charges!M239&lt;&gt;"",Charges!M239&lt;&gt;0),1,0)+IF(AND(9&gt;Paramètres!$B$9,Charges!N239&lt;&gt;"",Charges!N239&lt;&gt;0),1,0)+IF(AND(10&gt;Paramètres!$B$9,Charges!O239&lt;&gt;"",Charges!O239&lt;&gt;0),1,0)+IF(AND(11&gt;Paramètres!$B$9,Charges!P239&lt;&gt;"",Charges!P239&lt;&gt;0),1,0)+IF(AND(12&gt;Paramètres!$B$9,Charges!Q239&lt;&gt;"",Charges!Q239&lt;&gt;0),1,0)+IF(AND(13&gt;Paramètres!$B$9,Charges!R239&lt;&gt;"",Charges!R239&lt;&gt;0),1,0)</f>
        <v>0</v>
      </c>
      <c r="V239" t="n">
        <f>IF(IFERROR(VLOOKUP(A239,'Projets'!$A$8:$Z$67,5,FALSE),"")="Engager",1,0)</f>
        <v>0</v>
      </c>
      <c r="W239" t="n">
        <f>IF(IFERROR(VLOOKUP(A239,'Projets'!$A$8:$Z$67,6,FALSE),"")="Engager",1,0)</f>
        <v>0</v>
      </c>
      <c r="X239" t="n">
        <f>E239*S239</f>
        <v>0</v>
      </c>
      <c r="Y239" t="n">
        <f>F239*S239</f>
        <v>0</v>
      </c>
      <c r="Z239" t="n">
        <f>G239*S239</f>
        <v>0</v>
      </c>
      <c r="AA239" t="n">
        <f>H239*S239</f>
        <v>0</v>
      </c>
      <c r="AB239" t="n">
        <f>I239*S239</f>
        <v>0</v>
      </c>
      <c r="AC239" t="n">
        <f>J239*S239</f>
        <v>0</v>
      </c>
      <c r="AD239" t="n">
        <f>K239*S239</f>
        <v>0</v>
      </c>
      <c r="AE239" t="n">
        <f>L239*S239</f>
        <v>0</v>
      </c>
      <c r="AF239" t="n">
        <f>M239*S239</f>
        <v>0</v>
      </c>
      <c r="AG239" t="n">
        <f>N239*S239</f>
        <v>0</v>
      </c>
      <c r="AH239" t="n">
        <f>O239*S239</f>
        <v>0</v>
      </c>
      <c r="AI239" t="n">
        <f>P239*S239</f>
        <v>0</v>
      </c>
      <c r="AJ239" t="n">
        <f>Q239*S239</f>
        <v>0</v>
      </c>
      <c r="AK239" t="n">
        <f>E239*V239</f>
        <v>0</v>
      </c>
      <c r="AL239" t="n">
        <f>F239*V239</f>
        <v>0</v>
      </c>
      <c r="AM239" t="n">
        <f>G239*V239</f>
        <v>0</v>
      </c>
      <c r="AN239" t="n">
        <f>H239*V239</f>
        <v>0</v>
      </c>
      <c r="AO239" t="n">
        <f>I239*V239</f>
        <v>0</v>
      </c>
      <c r="AP239" t="n">
        <f>J239*V239</f>
        <v>0</v>
      </c>
      <c r="AQ239" t="n">
        <f>K239*V239</f>
        <v>0</v>
      </c>
      <c r="AR239" t="n">
        <f>L239*V239</f>
        <v>0</v>
      </c>
      <c r="AS239" t="n">
        <f>M239*V239</f>
        <v>0</v>
      </c>
      <c r="AT239" t="n">
        <f>N239*V239</f>
        <v>0</v>
      </c>
      <c r="AU239" t="n">
        <f>O239*V239</f>
        <v>0</v>
      </c>
      <c r="AV239" t="n">
        <f>P239*V239</f>
        <v>0</v>
      </c>
      <c r="AW239" t="n">
        <f>Q239*V239</f>
        <v>0</v>
      </c>
      <c r="AX239" t="n">
        <f>E239*W239</f>
        <v>0</v>
      </c>
      <c r="AY239" t="n">
        <f>F239*W239</f>
        <v>0</v>
      </c>
      <c r="AZ239" t="n">
        <f>G239*W239</f>
        <v>0</v>
      </c>
      <c r="BA239" t="n">
        <f>H239*W239</f>
        <v>0</v>
      </c>
      <c r="BB239" t="n">
        <f>I239*W239</f>
        <v>0</v>
      </c>
      <c r="BC239" t="n">
        <f>J239*W239</f>
        <v>0</v>
      </c>
      <c r="BD239" t="n">
        <f>K239*W239</f>
        <v>0</v>
      </c>
      <c r="BE239" t="n">
        <f>L239*W239</f>
        <v>0</v>
      </c>
      <c r="BF239" t="n">
        <f>M239*W239</f>
        <v>0</v>
      </c>
      <c r="BG239" t="n">
        <f>N239*W239</f>
        <v>0</v>
      </c>
      <c r="BH239" t="n">
        <f>O239*W239</f>
        <v>0</v>
      </c>
      <c r="BI239" t="n">
        <f>P239*W239</f>
        <v>0</v>
      </c>
      <c r="BJ239" t="n">
        <f>Q239*W239</f>
        <v>0</v>
      </c>
    </row>
    <row r="240">
      <c r="A240" t="n">
        <f>Charges!A240</f>
        <v>0</v>
      </c>
      <c r="B240" t="n">
        <f>Charges!C240</f>
        <v>0</v>
      </c>
      <c r="C240" t="str">
        <f>Charges!D240</f>
        <v/>
      </c>
      <c r="E240" t="n">
        <f>IF(1&lt;=Paramètres!$B$9,MAX(0,IFERROR(N(IF(ISNUMBER(Charges!F240),MAX(0,Charges!F240),IFERROR(VLOOKUP(Charges!F240,Paramètres!$A$15:$B$18,2,FALSE),0))),0)),0)</f>
        <v>0</v>
      </c>
      <c r="F240" t="n">
        <f>IF(2&lt;=Paramètres!$B$9,MAX(0,IFERROR(N(IF(ISNUMBER(Charges!G240),MAX(0,Charges!G240),IFERROR(VLOOKUP(Charges!G240,Paramètres!$A$15:$B$18,2,FALSE),0))),0)),0)</f>
        <v>0</v>
      </c>
      <c r="G240" t="n">
        <f>IF(3&lt;=Paramètres!$B$9,MAX(0,IFERROR(N(IF(ISNUMBER(Charges!H240),MAX(0,Charges!H240),IFERROR(VLOOKUP(Charges!H240,Paramètres!$A$15:$B$18,2,FALSE),0))),0)),0)</f>
        <v>0</v>
      </c>
      <c r="H240" t="n">
        <f>IF(4&lt;=Paramètres!$B$9,MAX(0,IFERROR(N(IF(ISNUMBER(Charges!I240),MAX(0,Charges!I240),IFERROR(VLOOKUP(Charges!I240,Paramètres!$A$15:$B$18,2,FALSE),0))),0)),0)</f>
        <v>0</v>
      </c>
      <c r="I240" t="n">
        <f>IF(5&lt;=Paramètres!$B$9,MAX(0,IFERROR(N(IF(ISNUMBER(Charges!J240),MAX(0,Charges!J240),IFERROR(VLOOKUP(Charges!J240,Paramètres!$A$15:$B$18,2,FALSE),0))),0)),0)</f>
        <v>0</v>
      </c>
      <c r="J240" t="n">
        <f>IF(6&lt;=Paramètres!$B$9,MAX(0,IFERROR(N(IF(ISNUMBER(Charges!K240),MAX(0,Charges!K240),IFERROR(VLOOKUP(Charges!K240,Paramètres!$A$15:$B$18,2,FALSE),0))),0)),0)</f>
        <v>0</v>
      </c>
      <c r="K240" t="n">
        <f>IF(7&lt;=Paramètres!$B$9,MAX(0,IFERROR(N(IF(ISNUMBER(Charges!L240),MAX(0,Charges!L240),IFERROR(VLOOKUP(Charges!L240,Paramètres!$A$15:$B$18,2,FALSE),0))),0)),0)</f>
        <v>0</v>
      </c>
      <c r="L240" t="n">
        <f>IF(8&lt;=Paramètres!$B$9,MAX(0,IFERROR(N(IF(ISNUMBER(Charges!M240),MAX(0,Charges!M240),IFERROR(VLOOKUP(Charges!M240,Paramètres!$A$15:$B$18,2,FALSE),0))),0)),0)</f>
        <v>0</v>
      </c>
      <c r="M240" t="n">
        <f>IF(9&lt;=Paramètres!$B$9,MAX(0,IFERROR(N(IF(ISNUMBER(Charges!N240),MAX(0,Charges!N240),IFERROR(VLOOKUP(Charges!N240,Paramètres!$A$15:$B$18,2,FALSE),0))),0)),0)</f>
        <v>0</v>
      </c>
      <c r="N240" t="n">
        <f>IF(10&lt;=Paramètres!$B$9,MAX(0,IFERROR(N(IF(ISNUMBER(Charges!O240),MAX(0,Charges!O240),IFERROR(VLOOKUP(Charges!O240,Paramètres!$A$15:$B$18,2,FALSE),0))),0)),0)</f>
        <v>0</v>
      </c>
      <c r="O240" t="n">
        <f>IF(11&lt;=Paramètres!$B$9,MAX(0,IFERROR(N(IF(ISNUMBER(Charges!P240),MAX(0,Charges!P240),IFERROR(VLOOKUP(Charges!P240,Paramètres!$A$15:$B$18,2,FALSE),0))),0)),0)</f>
        <v>0</v>
      </c>
      <c r="P240" t="n">
        <f>IF(12&lt;=Paramètres!$B$9,MAX(0,IFERROR(N(IF(ISNUMBER(Charges!Q240),MAX(0,Charges!Q240),IFERROR(VLOOKUP(Charges!Q240,Paramètres!$A$15:$B$18,2,FALSE),0))),0)),0)</f>
        <v>0</v>
      </c>
      <c r="Q240" t="n">
        <f>IF(13&lt;=Paramètres!$B$9,MAX(0,IFERROR(N(IF(ISNUMBER(Charges!R240),MAX(0,Charges!R240),IFERROR(VLOOKUP(Charges!R240,Paramètres!$A$15:$B$18,2,FALSE),0))),0)),0)</f>
        <v>0</v>
      </c>
      <c r="R240" t="n">
        <f>SUM(E240:Q240)</f>
        <v>0</v>
      </c>
      <c r="S240" t="n">
        <f>IF(IFERROR(VLOOKUP(A240,'Projets'!$A$8:$Z$67,7,FALSE),"")="Engager",1,0)</f>
        <v>0</v>
      </c>
      <c r="T240" t="n">
        <f>IF(OR(Charges!F240="",AND(ISNUMBER(Charges!F240),Charges!F240&gt;=0),Charges!F240="S",Charges!F240="M",Charges!F240="L",Charges!F240="XL"),0,1)+IF(OR(Charges!G240="",AND(ISNUMBER(Charges!G240),Charges!G240&gt;=0),Charges!G240="S",Charges!G240="M",Charges!G240="L",Charges!G240="XL"),0,1)+IF(OR(Charges!H240="",AND(ISNUMBER(Charges!H240),Charges!H240&gt;=0),Charges!H240="S",Charges!H240="M",Charges!H240="L",Charges!H240="XL"),0,1)+IF(OR(Charges!I240="",AND(ISNUMBER(Charges!I240),Charges!I240&gt;=0),Charges!I240="S",Charges!I240="M",Charges!I240="L",Charges!I240="XL"),0,1)+IF(OR(Charges!J240="",AND(ISNUMBER(Charges!J240),Charges!J240&gt;=0),Charges!J240="S",Charges!J240="M",Charges!J240="L",Charges!J240="XL"),0,1)+IF(OR(Charges!K240="",AND(ISNUMBER(Charges!K240),Charges!K240&gt;=0),Charges!K240="S",Charges!K240="M",Charges!K240="L",Charges!K240="XL"),0,1)+IF(OR(Charges!L240="",AND(ISNUMBER(Charges!L240),Charges!L240&gt;=0),Charges!L240="S",Charges!L240="M",Charges!L240="L",Charges!L240="XL"),0,1)+IF(OR(Charges!M240="",AND(ISNUMBER(Charges!M240),Charges!M240&gt;=0),Charges!M240="S",Charges!M240="M",Charges!M240="L",Charges!M240="XL"),0,1)+IF(OR(Charges!N240="",AND(ISNUMBER(Charges!N240),Charges!N240&gt;=0),Charges!N240="S",Charges!N240="M",Charges!N240="L",Charges!N240="XL"),0,1)+IF(OR(Charges!O240="",AND(ISNUMBER(Charges!O240),Charges!O240&gt;=0),Charges!O240="S",Charges!O240="M",Charges!O240="L",Charges!O240="XL"),0,1)+IF(OR(Charges!P240="",AND(ISNUMBER(Charges!P240),Charges!P240&gt;=0),Charges!P240="S",Charges!P240="M",Charges!P240="L",Charges!P240="XL"),0,1)+IF(OR(Charges!Q240="",AND(ISNUMBER(Charges!Q240),Charges!Q240&gt;=0),Charges!Q240="S",Charges!Q240="M",Charges!Q240="L",Charges!Q240="XL"),0,1)+IF(OR(Charges!R240="",AND(ISNUMBER(Charges!R240),Charges!R240&gt;=0),Charges!R240="S",Charges!R240="M",Charges!R240="L",Charges!R240="XL"),0,1)</f>
        <v>0</v>
      </c>
      <c r="U240" t="n">
        <f>IF(AND(1&gt;Paramètres!$B$9,Charges!F240&lt;&gt;"",Charges!F240&lt;&gt;0),1,0)+IF(AND(2&gt;Paramètres!$B$9,Charges!G240&lt;&gt;"",Charges!G240&lt;&gt;0),1,0)+IF(AND(3&gt;Paramètres!$B$9,Charges!H240&lt;&gt;"",Charges!H240&lt;&gt;0),1,0)+IF(AND(4&gt;Paramètres!$B$9,Charges!I240&lt;&gt;"",Charges!I240&lt;&gt;0),1,0)+IF(AND(5&gt;Paramètres!$B$9,Charges!J240&lt;&gt;"",Charges!J240&lt;&gt;0),1,0)+IF(AND(6&gt;Paramètres!$B$9,Charges!K240&lt;&gt;"",Charges!K240&lt;&gt;0),1,0)+IF(AND(7&gt;Paramètres!$B$9,Charges!L240&lt;&gt;"",Charges!L240&lt;&gt;0),1,0)+IF(AND(8&gt;Paramètres!$B$9,Charges!M240&lt;&gt;"",Charges!M240&lt;&gt;0),1,0)+IF(AND(9&gt;Paramètres!$B$9,Charges!N240&lt;&gt;"",Charges!N240&lt;&gt;0),1,0)+IF(AND(10&gt;Paramètres!$B$9,Charges!O240&lt;&gt;"",Charges!O240&lt;&gt;0),1,0)+IF(AND(11&gt;Paramètres!$B$9,Charges!P240&lt;&gt;"",Charges!P240&lt;&gt;0),1,0)+IF(AND(12&gt;Paramètres!$B$9,Charges!Q240&lt;&gt;"",Charges!Q240&lt;&gt;0),1,0)+IF(AND(13&gt;Paramètres!$B$9,Charges!R240&lt;&gt;"",Charges!R240&lt;&gt;0),1,0)</f>
        <v>0</v>
      </c>
      <c r="V240" t="n">
        <f>IF(IFERROR(VLOOKUP(A240,'Projets'!$A$8:$Z$67,5,FALSE),"")="Engager",1,0)</f>
        <v>0</v>
      </c>
      <c r="W240" t="n">
        <f>IF(IFERROR(VLOOKUP(A240,'Projets'!$A$8:$Z$67,6,FALSE),"")="Engager",1,0)</f>
        <v>0</v>
      </c>
      <c r="X240" t="n">
        <f>E240*S240</f>
        <v>0</v>
      </c>
      <c r="Y240" t="n">
        <f>F240*S240</f>
        <v>0</v>
      </c>
      <c r="Z240" t="n">
        <f>G240*S240</f>
        <v>0</v>
      </c>
      <c r="AA240" t="n">
        <f>H240*S240</f>
        <v>0</v>
      </c>
      <c r="AB240" t="n">
        <f>I240*S240</f>
        <v>0</v>
      </c>
      <c r="AC240" t="n">
        <f>J240*S240</f>
        <v>0</v>
      </c>
      <c r="AD240" t="n">
        <f>K240*S240</f>
        <v>0</v>
      </c>
      <c r="AE240" t="n">
        <f>L240*S240</f>
        <v>0</v>
      </c>
      <c r="AF240" t="n">
        <f>M240*S240</f>
        <v>0</v>
      </c>
      <c r="AG240" t="n">
        <f>N240*S240</f>
        <v>0</v>
      </c>
      <c r="AH240" t="n">
        <f>O240*S240</f>
        <v>0</v>
      </c>
      <c r="AI240" t="n">
        <f>P240*S240</f>
        <v>0</v>
      </c>
      <c r="AJ240" t="n">
        <f>Q240*S240</f>
        <v>0</v>
      </c>
      <c r="AK240" t="n">
        <f>E240*V240</f>
        <v>0</v>
      </c>
      <c r="AL240" t="n">
        <f>F240*V240</f>
        <v>0</v>
      </c>
      <c r="AM240" t="n">
        <f>G240*V240</f>
        <v>0</v>
      </c>
      <c r="AN240" t="n">
        <f>H240*V240</f>
        <v>0</v>
      </c>
      <c r="AO240" t="n">
        <f>I240*V240</f>
        <v>0</v>
      </c>
      <c r="AP240" t="n">
        <f>J240*V240</f>
        <v>0</v>
      </c>
      <c r="AQ240" t="n">
        <f>K240*V240</f>
        <v>0</v>
      </c>
      <c r="AR240" t="n">
        <f>L240*V240</f>
        <v>0</v>
      </c>
      <c r="AS240" t="n">
        <f>M240*V240</f>
        <v>0</v>
      </c>
      <c r="AT240" t="n">
        <f>N240*V240</f>
        <v>0</v>
      </c>
      <c r="AU240" t="n">
        <f>O240*V240</f>
        <v>0</v>
      </c>
      <c r="AV240" t="n">
        <f>P240*V240</f>
        <v>0</v>
      </c>
      <c r="AW240" t="n">
        <f>Q240*V240</f>
        <v>0</v>
      </c>
      <c r="AX240" t="n">
        <f>E240*W240</f>
        <v>0</v>
      </c>
      <c r="AY240" t="n">
        <f>F240*W240</f>
        <v>0</v>
      </c>
      <c r="AZ240" t="n">
        <f>G240*W240</f>
        <v>0</v>
      </c>
      <c r="BA240" t="n">
        <f>H240*W240</f>
        <v>0</v>
      </c>
      <c r="BB240" t="n">
        <f>I240*W240</f>
        <v>0</v>
      </c>
      <c r="BC240" t="n">
        <f>J240*W240</f>
        <v>0</v>
      </c>
      <c r="BD240" t="n">
        <f>K240*W240</f>
        <v>0</v>
      </c>
      <c r="BE240" t="n">
        <f>L240*W240</f>
        <v>0</v>
      </c>
      <c r="BF240" t="n">
        <f>M240*W240</f>
        <v>0</v>
      </c>
      <c r="BG240" t="n">
        <f>N240*W240</f>
        <v>0</v>
      </c>
      <c r="BH240" t="n">
        <f>O240*W240</f>
        <v>0</v>
      </c>
      <c r="BI240" t="n">
        <f>P240*W240</f>
        <v>0</v>
      </c>
      <c r="BJ240" t="n">
        <f>Q240*W240</f>
        <v>0</v>
      </c>
    </row>
    <row r="241">
      <c r="A241" t="n">
        <f>Charges!A241</f>
        <v>0</v>
      </c>
      <c r="B241" t="n">
        <f>Charges!C241</f>
        <v>0</v>
      </c>
      <c r="C241" t="str">
        <f>Charges!D241</f>
        <v/>
      </c>
      <c r="E241" t="n">
        <f>IF(1&lt;=Paramètres!$B$9,MAX(0,IFERROR(N(IF(ISNUMBER(Charges!F241),MAX(0,Charges!F241),IFERROR(VLOOKUP(Charges!F241,Paramètres!$A$15:$B$18,2,FALSE),0))),0)),0)</f>
        <v>0</v>
      </c>
      <c r="F241" t="n">
        <f>IF(2&lt;=Paramètres!$B$9,MAX(0,IFERROR(N(IF(ISNUMBER(Charges!G241),MAX(0,Charges!G241),IFERROR(VLOOKUP(Charges!G241,Paramètres!$A$15:$B$18,2,FALSE),0))),0)),0)</f>
        <v>0</v>
      </c>
      <c r="G241" t="n">
        <f>IF(3&lt;=Paramètres!$B$9,MAX(0,IFERROR(N(IF(ISNUMBER(Charges!H241),MAX(0,Charges!H241),IFERROR(VLOOKUP(Charges!H241,Paramètres!$A$15:$B$18,2,FALSE),0))),0)),0)</f>
        <v>0</v>
      </c>
      <c r="H241" t="n">
        <f>IF(4&lt;=Paramètres!$B$9,MAX(0,IFERROR(N(IF(ISNUMBER(Charges!I241),MAX(0,Charges!I241),IFERROR(VLOOKUP(Charges!I241,Paramètres!$A$15:$B$18,2,FALSE),0))),0)),0)</f>
        <v>0</v>
      </c>
      <c r="I241" t="n">
        <f>IF(5&lt;=Paramètres!$B$9,MAX(0,IFERROR(N(IF(ISNUMBER(Charges!J241),MAX(0,Charges!J241),IFERROR(VLOOKUP(Charges!J241,Paramètres!$A$15:$B$18,2,FALSE),0))),0)),0)</f>
        <v>0</v>
      </c>
      <c r="J241" t="n">
        <f>IF(6&lt;=Paramètres!$B$9,MAX(0,IFERROR(N(IF(ISNUMBER(Charges!K241),MAX(0,Charges!K241),IFERROR(VLOOKUP(Charges!K241,Paramètres!$A$15:$B$18,2,FALSE),0))),0)),0)</f>
        <v>0</v>
      </c>
      <c r="K241" t="n">
        <f>IF(7&lt;=Paramètres!$B$9,MAX(0,IFERROR(N(IF(ISNUMBER(Charges!L241),MAX(0,Charges!L241),IFERROR(VLOOKUP(Charges!L241,Paramètres!$A$15:$B$18,2,FALSE),0))),0)),0)</f>
        <v>0</v>
      </c>
      <c r="L241" t="n">
        <f>IF(8&lt;=Paramètres!$B$9,MAX(0,IFERROR(N(IF(ISNUMBER(Charges!M241),MAX(0,Charges!M241),IFERROR(VLOOKUP(Charges!M241,Paramètres!$A$15:$B$18,2,FALSE),0))),0)),0)</f>
        <v>0</v>
      </c>
      <c r="M241" t="n">
        <f>IF(9&lt;=Paramètres!$B$9,MAX(0,IFERROR(N(IF(ISNUMBER(Charges!N241),MAX(0,Charges!N241),IFERROR(VLOOKUP(Charges!N241,Paramètres!$A$15:$B$18,2,FALSE),0))),0)),0)</f>
        <v>0</v>
      </c>
      <c r="N241" t="n">
        <f>IF(10&lt;=Paramètres!$B$9,MAX(0,IFERROR(N(IF(ISNUMBER(Charges!O241),MAX(0,Charges!O241),IFERROR(VLOOKUP(Charges!O241,Paramètres!$A$15:$B$18,2,FALSE),0))),0)),0)</f>
        <v>0</v>
      </c>
      <c r="O241" t="n">
        <f>IF(11&lt;=Paramètres!$B$9,MAX(0,IFERROR(N(IF(ISNUMBER(Charges!P241),MAX(0,Charges!P241),IFERROR(VLOOKUP(Charges!P241,Paramètres!$A$15:$B$18,2,FALSE),0))),0)),0)</f>
        <v>0</v>
      </c>
      <c r="P241" t="n">
        <f>IF(12&lt;=Paramètres!$B$9,MAX(0,IFERROR(N(IF(ISNUMBER(Charges!Q241),MAX(0,Charges!Q241),IFERROR(VLOOKUP(Charges!Q241,Paramètres!$A$15:$B$18,2,FALSE),0))),0)),0)</f>
        <v>0</v>
      </c>
      <c r="Q241" t="n">
        <f>IF(13&lt;=Paramètres!$B$9,MAX(0,IFERROR(N(IF(ISNUMBER(Charges!R241),MAX(0,Charges!R241),IFERROR(VLOOKUP(Charges!R241,Paramètres!$A$15:$B$18,2,FALSE),0))),0)),0)</f>
        <v>0</v>
      </c>
      <c r="R241" t="n">
        <f>SUM(E241:Q241)</f>
        <v>0</v>
      </c>
      <c r="S241" t="n">
        <f>IF(IFERROR(VLOOKUP(A241,'Projets'!$A$8:$Z$67,7,FALSE),"")="Engager",1,0)</f>
        <v>0</v>
      </c>
      <c r="T241" t="n">
        <f>IF(OR(Charges!F241="",AND(ISNUMBER(Charges!F241),Charges!F241&gt;=0),Charges!F241="S",Charges!F241="M",Charges!F241="L",Charges!F241="XL"),0,1)+IF(OR(Charges!G241="",AND(ISNUMBER(Charges!G241),Charges!G241&gt;=0),Charges!G241="S",Charges!G241="M",Charges!G241="L",Charges!G241="XL"),0,1)+IF(OR(Charges!H241="",AND(ISNUMBER(Charges!H241),Charges!H241&gt;=0),Charges!H241="S",Charges!H241="M",Charges!H241="L",Charges!H241="XL"),0,1)+IF(OR(Charges!I241="",AND(ISNUMBER(Charges!I241),Charges!I241&gt;=0),Charges!I241="S",Charges!I241="M",Charges!I241="L",Charges!I241="XL"),0,1)+IF(OR(Charges!J241="",AND(ISNUMBER(Charges!J241),Charges!J241&gt;=0),Charges!J241="S",Charges!J241="M",Charges!J241="L",Charges!J241="XL"),0,1)+IF(OR(Charges!K241="",AND(ISNUMBER(Charges!K241),Charges!K241&gt;=0),Charges!K241="S",Charges!K241="M",Charges!K241="L",Charges!K241="XL"),0,1)+IF(OR(Charges!L241="",AND(ISNUMBER(Charges!L241),Charges!L241&gt;=0),Charges!L241="S",Charges!L241="M",Charges!L241="L",Charges!L241="XL"),0,1)+IF(OR(Charges!M241="",AND(ISNUMBER(Charges!M241),Charges!M241&gt;=0),Charges!M241="S",Charges!M241="M",Charges!M241="L",Charges!M241="XL"),0,1)+IF(OR(Charges!N241="",AND(ISNUMBER(Charges!N241),Charges!N241&gt;=0),Charges!N241="S",Charges!N241="M",Charges!N241="L",Charges!N241="XL"),0,1)+IF(OR(Charges!O241="",AND(ISNUMBER(Charges!O241),Charges!O241&gt;=0),Charges!O241="S",Charges!O241="M",Charges!O241="L",Charges!O241="XL"),0,1)+IF(OR(Charges!P241="",AND(ISNUMBER(Charges!P241),Charges!P241&gt;=0),Charges!P241="S",Charges!P241="M",Charges!P241="L",Charges!P241="XL"),0,1)+IF(OR(Charges!Q241="",AND(ISNUMBER(Charges!Q241),Charges!Q241&gt;=0),Charges!Q241="S",Charges!Q241="M",Charges!Q241="L",Charges!Q241="XL"),0,1)+IF(OR(Charges!R241="",AND(ISNUMBER(Charges!R241),Charges!R241&gt;=0),Charges!R241="S",Charges!R241="M",Charges!R241="L",Charges!R241="XL"),0,1)</f>
        <v>0</v>
      </c>
      <c r="U241" t="n">
        <f>IF(AND(1&gt;Paramètres!$B$9,Charges!F241&lt;&gt;"",Charges!F241&lt;&gt;0),1,0)+IF(AND(2&gt;Paramètres!$B$9,Charges!G241&lt;&gt;"",Charges!G241&lt;&gt;0),1,0)+IF(AND(3&gt;Paramètres!$B$9,Charges!H241&lt;&gt;"",Charges!H241&lt;&gt;0),1,0)+IF(AND(4&gt;Paramètres!$B$9,Charges!I241&lt;&gt;"",Charges!I241&lt;&gt;0),1,0)+IF(AND(5&gt;Paramètres!$B$9,Charges!J241&lt;&gt;"",Charges!J241&lt;&gt;0),1,0)+IF(AND(6&gt;Paramètres!$B$9,Charges!K241&lt;&gt;"",Charges!K241&lt;&gt;0),1,0)+IF(AND(7&gt;Paramètres!$B$9,Charges!L241&lt;&gt;"",Charges!L241&lt;&gt;0),1,0)+IF(AND(8&gt;Paramètres!$B$9,Charges!M241&lt;&gt;"",Charges!M241&lt;&gt;0),1,0)+IF(AND(9&gt;Paramètres!$B$9,Charges!N241&lt;&gt;"",Charges!N241&lt;&gt;0),1,0)+IF(AND(10&gt;Paramètres!$B$9,Charges!O241&lt;&gt;"",Charges!O241&lt;&gt;0),1,0)+IF(AND(11&gt;Paramètres!$B$9,Charges!P241&lt;&gt;"",Charges!P241&lt;&gt;0),1,0)+IF(AND(12&gt;Paramètres!$B$9,Charges!Q241&lt;&gt;"",Charges!Q241&lt;&gt;0),1,0)+IF(AND(13&gt;Paramètres!$B$9,Charges!R241&lt;&gt;"",Charges!R241&lt;&gt;0),1,0)</f>
        <v>0</v>
      </c>
      <c r="V241" t="n">
        <f>IF(IFERROR(VLOOKUP(A241,'Projets'!$A$8:$Z$67,5,FALSE),"")="Engager",1,0)</f>
        <v>0</v>
      </c>
      <c r="W241" t="n">
        <f>IF(IFERROR(VLOOKUP(A241,'Projets'!$A$8:$Z$67,6,FALSE),"")="Engager",1,0)</f>
        <v>0</v>
      </c>
      <c r="X241" t="n">
        <f>E241*S241</f>
        <v>0</v>
      </c>
      <c r="Y241" t="n">
        <f>F241*S241</f>
        <v>0</v>
      </c>
      <c r="Z241" t="n">
        <f>G241*S241</f>
        <v>0</v>
      </c>
      <c r="AA241" t="n">
        <f>H241*S241</f>
        <v>0</v>
      </c>
      <c r="AB241" t="n">
        <f>I241*S241</f>
        <v>0</v>
      </c>
      <c r="AC241" t="n">
        <f>J241*S241</f>
        <v>0</v>
      </c>
      <c r="AD241" t="n">
        <f>K241*S241</f>
        <v>0</v>
      </c>
      <c r="AE241" t="n">
        <f>L241*S241</f>
        <v>0</v>
      </c>
      <c r="AF241" t="n">
        <f>M241*S241</f>
        <v>0</v>
      </c>
      <c r="AG241" t="n">
        <f>N241*S241</f>
        <v>0</v>
      </c>
      <c r="AH241" t="n">
        <f>O241*S241</f>
        <v>0</v>
      </c>
      <c r="AI241" t="n">
        <f>P241*S241</f>
        <v>0</v>
      </c>
      <c r="AJ241" t="n">
        <f>Q241*S241</f>
        <v>0</v>
      </c>
      <c r="AK241" t="n">
        <f>E241*V241</f>
        <v>0</v>
      </c>
      <c r="AL241" t="n">
        <f>F241*V241</f>
        <v>0</v>
      </c>
      <c r="AM241" t="n">
        <f>G241*V241</f>
        <v>0</v>
      </c>
      <c r="AN241" t="n">
        <f>H241*V241</f>
        <v>0</v>
      </c>
      <c r="AO241" t="n">
        <f>I241*V241</f>
        <v>0</v>
      </c>
      <c r="AP241" t="n">
        <f>J241*V241</f>
        <v>0</v>
      </c>
      <c r="AQ241" t="n">
        <f>K241*V241</f>
        <v>0</v>
      </c>
      <c r="AR241" t="n">
        <f>L241*V241</f>
        <v>0</v>
      </c>
      <c r="AS241" t="n">
        <f>M241*V241</f>
        <v>0</v>
      </c>
      <c r="AT241" t="n">
        <f>N241*V241</f>
        <v>0</v>
      </c>
      <c r="AU241" t="n">
        <f>O241*V241</f>
        <v>0</v>
      </c>
      <c r="AV241" t="n">
        <f>P241*V241</f>
        <v>0</v>
      </c>
      <c r="AW241" t="n">
        <f>Q241*V241</f>
        <v>0</v>
      </c>
      <c r="AX241" t="n">
        <f>E241*W241</f>
        <v>0</v>
      </c>
      <c r="AY241" t="n">
        <f>F241*W241</f>
        <v>0</v>
      </c>
      <c r="AZ241" t="n">
        <f>G241*W241</f>
        <v>0</v>
      </c>
      <c r="BA241" t="n">
        <f>H241*W241</f>
        <v>0</v>
      </c>
      <c r="BB241" t="n">
        <f>I241*W241</f>
        <v>0</v>
      </c>
      <c r="BC241" t="n">
        <f>J241*W241</f>
        <v>0</v>
      </c>
      <c r="BD241" t="n">
        <f>K241*W241</f>
        <v>0</v>
      </c>
      <c r="BE241" t="n">
        <f>L241*W241</f>
        <v>0</v>
      </c>
      <c r="BF241" t="n">
        <f>M241*W241</f>
        <v>0</v>
      </c>
      <c r="BG241" t="n">
        <f>N241*W241</f>
        <v>0</v>
      </c>
      <c r="BH241" t="n">
        <f>O241*W241</f>
        <v>0</v>
      </c>
      <c r="BI241" t="n">
        <f>P241*W241</f>
        <v>0</v>
      </c>
      <c r="BJ241" t="n">
        <f>Q241*W241</f>
        <v>0</v>
      </c>
    </row>
    <row r="242">
      <c r="A242" t="n">
        <f>Charges!A242</f>
        <v>0</v>
      </c>
      <c r="B242" t="n">
        <f>Charges!C242</f>
        <v>0</v>
      </c>
      <c r="C242" t="str">
        <f>Charges!D242</f>
        <v/>
      </c>
      <c r="E242" t="n">
        <f>IF(1&lt;=Paramètres!$B$9,MAX(0,IFERROR(N(IF(ISNUMBER(Charges!F242),MAX(0,Charges!F242),IFERROR(VLOOKUP(Charges!F242,Paramètres!$A$15:$B$18,2,FALSE),0))),0)),0)</f>
        <v>0</v>
      </c>
      <c r="F242" t="n">
        <f>IF(2&lt;=Paramètres!$B$9,MAX(0,IFERROR(N(IF(ISNUMBER(Charges!G242),MAX(0,Charges!G242),IFERROR(VLOOKUP(Charges!G242,Paramètres!$A$15:$B$18,2,FALSE),0))),0)),0)</f>
        <v>0</v>
      </c>
      <c r="G242" t="n">
        <f>IF(3&lt;=Paramètres!$B$9,MAX(0,IFERROR(N(IF(ISNUMBER(Charges!H242),MAX(0,Charges!H242),IFERROR(VLOOKUP(Charges!H242,Paramètres!$A$15:$B$18,2,FALSE),0))),0)),0)</f>
        <v>0</v>
      </c>
      <c r="H242" t="n">
        <f>IF(4&lt;=Paramètres!$B$9,MAX(0,IFERROR(N(IF(ISNUMBER(Charges!I242),MAX(0,Charges!I242),IFERROR(VLOOKUP(Charges!I242,Paramètres!$A$15:$B$18,2,FALSE),0))),0)),0)</f>
        <v>0</v>
      </c>
      <c r="I242" t="n">
        <f>IF(5&lt;=Paramètres!$B$9,MAX(0,IFERROR(N(IF(ISNUMBER(Charges!J242),MAX(0,Charges!J242),IFERROR(VLOOKUP(Charges!J242,Paramètres!$A$15:$B$18,2,FALSE),0))),0)),0)</f>
        <v>0</v>
      </c>
      <c r="J242" t="n">
        <f>IF(6&lt;=Paramètres!$B$9,MAX(0,IFERROR(N(IF(ISNUMBER(Charges!K242),MAX(0,Charges!K242),IFERROR(VLOOKUP(Charges!K242,Paramètres!$A$15:$B$18,2,FALSE),0))),0)),0)</f>
        <v>0</v>
      </c>
      <c r="K242" t="n">
        <f>IF(7&lt;=Paramètres!$B$9,MAX(0,IFERROR(N(IF(ISNUMBER(Charges!L242),MAX(0,Charges!L242),IFERROR(VLOOKUP(Charges!L242,Paramètres!$A$15:$B$18,2,FALSE),0))),0)),0)</f>
        <v>0</v>
      </c>
      <c r="L242" t="n">
        <f>IF(8&lt;=Paramètres!$B$9,MAX(0,IFERROR(N(IF(ISNUMBER(Charges!M242),MAX(0,Charges!M242),IFERROR(VLOOKUP(Charges!M242,Paramètres!$A$15:$B$18,2,FALSE),0))),0)),0)</f>
        <v>0</v>
      </c>
      <c r="M242" t="n">
        <f>IF(9&lt;=Paramètres!$B$9,MAX(0,IFERROR(N(IF(ISNUMBER(Charges!N242),MAX(0,Charges!N242),IFERROR(VLOOKUP(Charges!N242,Paramètres!$A$15:$B$18,2,FALSE),0))),0)),0)</f>
        <v>0</v>
      </c>
      <c r="N242" t="n">
        <f>IF(10&lt;=Paramètres!$B$9,MAX(0,IFERROR(N(IF(ISNUMBER(Charges!O242),MAX(0,Charges!O242),IFERROR(VLOOKUP(Charges!O242,Paramètres!$A$15:$B$18,2,FALSE),0))),0)),0)</f>
        <v>0</v>
      </c>
      <c r="O242" t="n">
        <f>IF(11&lt;=Paramètres!$B$9,MAX(0,IFERROR(N(IF(ISNUMBER(Charges!P242),MAX(0,Charges!P242),IFERROR(VLOOKUP(Charges!P242,Paramètres!$A$15:$B$18,2,FALSE),0))),0)),0)</f>
        <v>0</v>
      </c>
      <c r="P242" t="n">
        <f>IF(12&lt;=Paramètres!$B$9,MAX(0,IFERROR(N(IF(ISNUMBER(Charges!Q242),MAX(0,Charges!Q242),IFERROR(VLOOKUP(Charges!Q242,Paramètres!$A$15:$B$18,2,FALSE),0))),0)),0)</f>
        <v>0</v>
      </c>
      <c r="Q242" t="n">
        <f>IF(13&lt;=Paramètres!$B$9,MAX(0,IFERROR(N(IF(ISNUMBER(Charges!R242),MAX(0,Charges!R242),IFERROR(VLOOKUP(Charges!R242,Paramètres!$A$15:$B$18,2,FALSE),0))),0)),0)</f>
        <v>0</v>
      </c>
      <c r="R242" t="n">
        <f>SUM(E242:Q242)</f>
        <v>0</v>
      </c>
      <c r="S242" t="n">
        <f>IF(IFERROR(VLOOKUP(A242,'Projets'!$A$8:$Z$67,7,FALSE),"")="Engager",1,0)</f>
        <v>0</v>
      </c>
      <c r="T242" t="n">
        <f>IF(OR(Charges!F242="",AND(ISNUMBER(Charges!F242),Charges!F242&gt;=0),Charges!F242="S",Charges!F242="M",Charges!F242="L",Charges!F242="XL"),0,1)+IF(OR(Charges!G242="",AND(ISNUMBER(Charges!G242),Charges!G242&gt;=0),Charges!G242="S",Charges!G242="M",Charges!G242="L",Charges!G242="XL"),0,1)+IF(OR(Charges!H242="",AND(ISNUMBER(Charges!H242),Charges!H242&gt;=0),Charges!H242="S",Charges!H242="M",Charges!H242="L",Charges!H242="XL"),0,1)+IF(OR(Charges!I242="",AND(ISNUMBER(Charges!I242),Charges!I242&gt;=0),Charges!I242="S",Charges!I242="M",Charges!I242="L",Charges!I242="XL"),0,1)+IF(OR(Charges!J242="",AND(ISNUMBER(Charges!J242),Charges!J242&gt;=0),Charges!J242="S",Charges!J242="M",Charges!J242="L",Charges!J242="XL"),0,1)+IF(OR(Charges!K242="",AND(ISNUMBER(Charges!K242),Charges!K242&gt;=0),Charges!K242="S",Charges!K242="M",Charges!K242="L",Charges!K242="XL"),0,1)+IF(OR(Charges!L242="",AND(ISNUMBER(Charges!L242),Charges!L242&gt;=0),Charges!L242="S",Charges!L242="M",Charges!L242="L",Charges!L242="XL"),0,1)+IF(OR(Charges!M242="",AND(ISNUMBER(Charges!M242),Charges!M242&gt;=0),Charges!M242="S",Charges!M242="M",Charges!M242="L",Charges!M242="XL"),0,1)+IF(OR(Charges!N242="",AND(ISNUMBER(Charges!N242),Charges!N242&gt;=0),Charges!N242="S",Charges!N242="M",Charges!N242="L",Charges!N242="XL"),0,1)+IF(OR(Charges!O242="",AND(ISNUMBER(Charges!O242),Charges!O242&gt;=0),Charges!O242="S",Charges!O242="M",Charges!O242="L",Charges!O242="XL"),0,1)+IF(OR(Charges!P242="",AND(ISNUMBER(Charges!P242),Charges!P242&gt;=0),Charges!P242="S",Charges!P242="M",Charges!P242="L",Charges!P242="XL"),0,1)+IF(OR(Charges!Q242="",AND(ISNUMBER(Charges!Q242),Charges!Q242&gt;=0),Charges!Q242="S",Charges!Q242="M",Charges!Q242="L",Charges!Q242="XL"),0,1)+IF(OR(Charges!R242="",AND(ISNUMBER(Charges!R242),Charges!R242&gt;=0),Charges!R242="S",Charges!R242="M",Charges!R242="L",Charges!R242="XL"),0,1)</f>
        <v>0</v>
      </c>
      <c r="U242" t="n">
        <f>IF(AND(1&gt;Paramètres!$B$9,Charges!F242&lt;&gt;"",Charges!F242&lt;&gt;0),1,0)+IF(AND(2&gt;Paramètres!$B$9,Charges!G242&lt;&gt;"",Charges!G242&lt;&gt;0),1,0)+IF(AND(3&gt;Paramètres!$B$9,Charges!H242&lt;&gt;"",Charges!H242&lt;&gt;0),1,0)+IF(AND(4&gt;Paramètres!$B$9,Charges!I242&lt;&gt;"",Charges!I242&lt;&gt;0),1,0)+IF(AND(5&gt;Paramètres!$B$9,Charges!J242&lt;&gt;"",Charges!J242&lt;&gt;0),1,0)+IF(AND(6&gt;Paramètres!$B$9,Charges!K242&lt;&gt;"",Charges!K242&lt;&gt;0),1,0)+IF(AND(7&gt;Paramètres!$B$9,Charges!L242&lt;&gt;"",Charges!L242&lt;&gt;0),1,0)+IF(AND(8&gt;Paramètres!$B$9,Charges!M242&lt;&gt;"",Charges!M242&lt;&gt;0),1,0)+IF(AND(9&gt;Paramètres!$B$9,Charges!N242&lt;&gt;"",Charges!N242&lt;&gt;0),1,0)+IF(AND(10&gt;Paramètres!$B$9,Charges!O242&lt;&gt;"",Charges!O242&lt;&gt;0),1,0)+IF(AND(11&gt;Paramètres!$B$9,Charges!P242&lt;&gt;"",Charges!P242&lt;&gt;0),1,0)+IF(AND(12&gt;Paramètres!$B$9,Charges!Q242&lt;&gt;"",Charges!Q242&lt;&gt;0),1,0)+IF(AND(13&gt;Paramètres!$B$9,Charges!R242&lt;&gt;"",Charges!R242&lt;&gt;0),1,0)</f>
        <v>0</v>
      </c>
      <c r="V242" t="n">
        <f>IF(IFERROR(VLOOKUP(A242,'Projets'!$A$8:$Z$67,5,FALSE),"")="Engager",1,0)</f>
        <v>0</v>
      </c>
      <c r="W242" t="n">
        <f>IF(IFERROR(VLOOKUP(A242,'Projets'!$A$8:$Z$67,6,FALSE),"")="Engager",1,0)</f>
        <v>0</v>
      </c>
      <c r="X242" t="n">
        <f>E242*S242</f>
        <v>0</v>
      </c>
      <c r="Y242" t="n">
        <f>F242*S242</f>
        <v>0</v>
      </c>
      <c r="Z242" t="n">
        <f>G242*S242</f>
        <v>0</v>
      </c>
      <c r="AA242" t="n">
        <f>H242*S242</f>
        <v>0</v>
      </c>
      <c r="AB242" t="n">
        <f>I242*S242</f>
        <v>0</v>
      </c>
      <c r="AC242" t="n">
        <f>J242*S242</f>
        <v>0</v>
      </c>
      <c r="AD242" t="n">
        <f>K242*S242</f>
        <v>0</v>
      </c>
      <c r="AE242" t="n">
        <f>L242*S242</f>
        <v>0</v>
      </c>
      <c r="AF242" t="n">
        <f>M242*S242</f>
        <v>0</v>
      </c>
      <c r="AG242" t="n">
        <f>N242*S242</f>
        <v>0</v>
      </c>
      <c r="AH242" t="n">
        <f>O242*S242</f>
        <v>0</v>
      </c>
      <c r="AI242" t="n">
        <f>P242*S242</f>
        <v>0</v>
      </c>
      <c r="AJ242" t="n">
        <f>Q242*S242</f>
        <v>0</v>
      </c>
      <c r="AK242" t="n">
        <f>E242*V242</f>
        <v>0</v>
      </c>
      <c r="AL242" t="n">
        <f>F242*V242</f>
        <v>0</v>
      </c>
      <c r="AM242" t="n">
        <f>G242*V242</f>
        <v>0</v>
      </c>
      <c r="AN242" t="n">
        <f>H242*V242</f>
        <v>0</v>
      </c>
      <c r="AO242" t="n">
        <f>I242*V242</f>
        <v>0</v>
      </c>
      <c r="AP242" t="n">
        <f>J242*V242</f>
        <v>0</v>
      </c>
      <c r="AQ242" t="n">
        <f>K242*V242</f>
        <v>0</v>
      </c>
      <c r="AR242" t="n">
        <f>L242*V242</f>
        <v>0</v>
      </c>
      <c r="AS242" t="n">
        <f>M242*V242</f>
        <v>0</v>
      </c>
      <c r="AT242" t="n">
        <f>N242*V242</f>
        <v>0</v>
      </c>
      <c r="AU242" t="n">
        <f>O242*V242</f>
        <v>0</v>
      </c>
      <c r="AV242" t="n">
        <f>P242*V242</f>
        <v>0</v>
      </c>
      <c r="AW242" t="n">
        <f>Q242*V242</f>
        <v>0</v>
      </c>
      <c r="AX242" t="n">
        <f>E242*W242</f>
        <v>0</v>
      </c>
      <c r="AY242" t="n">
        <f>F242*W242</f>
        <v>0</v>
      </c>
      <c r="AZ242" t="n">
        <f>G242*W242</f>
        <v>0</v>
      </c>
      <c r="BA242" t="n">
        <f>H242*W242</f>
        <v>0</v>
      </c>
      <c r="BB242" t="n">
        <f>I242*W242</f>
        <v>0</v>
      </c>
      <c r="BC242" t="n">
        <f>J242*W242</f>
        <v>0</v>
      </c>
      <c r="BD242" t="n">
        <f>K242*W242</f>
        <v>0</v>
      </c>
      <c r="BE242" t="n">
        <f>L242*W242</f>
        <v>0</v>
      </c>
      <c r="BF242" t="n">
        <f>M242*W242</f>
        <v>0</v>
      </c>
      <c r="BG242" t="n">
        <f>N242*W242</f>
        <v>0</v>
      </c>
      <c r="BH242" t="n">
        <f>O242*W242</f>
        <v>0</v>
      </c>
      <c r="BI242" t="n">
        <f>P242*W242</f>
        <v>0</v>
      </c>
      <c r="BJ242" t="n">
        <f>Q242*W242</f>
        <v>0</v>
      </c>
    </row>
    <row r="243">
      <c r="A243" t="n">
        <f>Charges!A243</f>
        <v>0</v>
      </c>
      <c r="B243" t="n">
        <f>Charges!C243</f>
        <v>0</v>
      </c>
      <c r="C243" t="str">
        <f>Charges!D243</f>
        <v/>
      </c>
      <c r="E243" t="n">
        <f>IF(1&lt;=Paramètres!$B$9,MAX(0,IFERROR(N(IF(ISNUMBER(Charges!F243),MAX(0,Charges!F243),IFERROR(VLOOKUP(Charges!F243,Paramètres!$A$15:$B$18,2,FALSE),0))),0)),0)</f>
        <v>0</v>
      </c>
      <c r="F243" t="n">
        <f>IF(2&lt;=Paramètres!$B$9,MAX(0,IFERROR(N(IF(ISNUMBER(Charges!G243),MAX(0,Charges!G243),IFERROR(VLOOKUP(Charges!G243,Paramètres!$A$15:$B$18,2,FALSE),0))),0)),0)</f>
        <v>0</v>
      </c>
      <c r="G243" t="n">
        <f>IF(3&lt;=Paramètres!$B$9,MAX(0,IFERROR(N(IF(ISNUMBER(Charges!H243),MAX(0,Charges!H243),IFERROR(VLOOKUP(Charges!H243,Paramètres!$A$15:$B$18,2,FALSE),0))),0)),0)</f>
        <v>0</v>
      </c>
      <c r="H243" t="n">
        <f>IF(4&lt;=Paramètres!$B$9,MAX(0,IFERROR(N(IF(ISNUMBER(Charges!I243),MAX(0,Charges!I243),IFERROR(VLOOKUP(Charges!I243,Paramètres!$A$15:$B$18,2,FALSE),0))),0)),0)</f>
        <v>0</v>
      </c>
      <c r="I243" t="n">
        <f>IF(5&lt;=Paramètres!$B$9,MAX(0,IFERROR(N(IF(ISNUMBER(Charges!J243),MAX(0,Charges!J243),IFERROR(VLOOKUP(Charges!J243,Paramètres!$A$15:$B$18,2,FALSE),0))),0)),0)</f>
        <v>0</v>
      </c>
      <c r="J243" t="n">
        <f>IF(6&lt;=Paramètres!$B$9,MAX(0,IFERROR(N(IF(ISNUMBER(Charges!K243),MAX(0,Charges!K243),IFERROR(VLOOKUP(Charges!K243,Paramètres!$A$15:$B$18,2,FALSE),0))),0)),0)</f>
        <v>0</v>
      </c>
      <c r="K243" t="n">
        <f>IF(7&lt;=Paramètres!$B$9,MAX(0,IFERROR(N(IF(ISNUMBER(Charges!L243),MAX(0,Charges!L243),IFERROR(VLOOKUP(Charges!L243,Paramètres!$A$15:$B$18,2,FALSE),0))),0)),0)</f>
        <v>0</v>
      </c>
      <c r="L243" t="n">
        <f>IF(8&lt;=Paramètres!$B$9,MAX(0,IFERROR(N(IF(ISNUMBER(Charges!M243),MAX(0,Charges!M243),IFERROR(VLOOKUP(Charges!M243,Paramètres!$A$15:$B$18,2,FALSE),0))),0)),0)</f>
        <v>0</v>
      </c>
      <c r="M243" t="n">
        <f>IF(9&lt;=Paramètres!$B$9,MAX(0,IFERROR(N(IF(ISNUMBER(Charges!N243),MAX(0,Charges!N243),IFERROR(VLOOKUP(Charges!N243,Paramètres!$A$15:$B$18,2,FALSE),0))),0)),0)</f>
        <v>0</v>
      </c>
      <c r="N243" t="n">
        <f>IF(10&lt;=Paramètres!$B$9,MAX(0,IFERROR(N(IF(ISNUMBER(Charges!O243),MAX(0,Charges!O243),IFERROR(VLOOKUP(Charges!O243,Paramètres!$A$15:$B$18,2,FALSE),0))),0)),0)</f>
        <v>0</v>
      </c>
      <c r="O243" t="n">
        <f>IF(11&lt;=Paramètres!$B$9,MAX(0,IFERROR(N(IF(ISNUMBER(Charges!P243),MAX(0,Charges!P243),IFERROR(VLOOKUP(Charges!P243,Paramètres!$A$15:$B$18,2,FALSE),0))),0)),0)</f>
        <v>0</v>
      </c>
      <c r="P243" t="n">
        <f>IF(12&lt;=Paramètres!$B$9,MAX(0,IFERROR(N(IF(ISNUMBER(Charges!Q243),MAX(0,Charges!Q243),IFERROR(VLOOKUP(Charges!Q243,Paramètres!$A$15:$B$18,2,FALSE),0))),0)),0)</f>
        <v>0</v>
      </c>
      <c r="Q243" t="n">
        <f>IF(13&lt;=Paramètres!$B$9,MAX(0,IFERROR(N(IF(ISNUMBER(Charges!R243),MAX(0,Charges!R243),IFERROR(VLOOKUP(Charges!R243,Paramètres!$A$15:$B$18,2,FALSE),0))),0)),0)</f>
        <v>0</v>
      </c>
      <c r="R243" t="n">
        <f>SUM(E243:Q243)</f>
        <v>0</v>
      </c>
      <c r="S243" t="n">
        <f>IF(IFERROR(VLOOKUP(A243,'Projets'!$A$8:$Z$67,7,FALSE),"")="Engager",1,0)</f>
        <v>0</v>
      </c>
      <c r="T243" t="n">
        <f>IF(OR(Charges!F243="",AND(ISNUMBER(Charges!F243),Charges!F243&gt;=0),Charges!F243="S",Charges!F243="M",Charges!F243="L",Charges!F243="XL"),0,1)+IF(OR(Charges!G243="",AND(ISNUMBER(Charges!G243),Charges!G243&gt;=0),Charges!G243="S",Charges!G243="M",Charges!G243="L",Charges!G243="XL"),0,1)+IF(OR(Charges!H243="",AND(ISNUMBER(Charges!H243),Charges!H243&gt;=0),Charges!H243="S",Charges!H243="M",Charges!H243="L",Charges!H243="XL"),0,1)+IF(OR(Charges!I243="",AND(ISNUMBER(Charges!I243),Charges!I243&gt;=0),Charges!I243="S",Charges!I243="M",Charges!I243="L",Charges!I243="XL"),0,1)+IF(OR(Charges!J243="",AND(ISNUMBER(Charges!J243),Charges!J243&gt;=0),Charges!J243="S",Charges!J243="M",Charges!J243="L",Charges!J243="XL"),0,1)+IF(OR(Charges!K243="",AND(ISNUMBER(Charges!K243),Charges!K243&gt;=0),Charges!K243="S",Charges!K243="M",Charges!K243="L",Charges!K243="XL"),0,1)+IF(OR(Charges!L243="",AND(ISNUMBER(Charges!L243),Charges!L243&gt;=0),Charges!L243="S",Charges!L243="M",Charges!L243="L",Charges!L243="XL"),0,1)+IF(OR(Charges!M243="",AND(ISNUMBER(Charges!M243),Charges!M243&gt;=0),Charges!M243="S",Charges!M243="M",Charges!M243="L",Charges!M243="XL"),0,1)+IF(OR(Charges!N243="",AND(ISNUMBER(Charges!N243),Charges!N243&gt;=0),Charges!N243="S",Charges!N243="M",Charges!N243="L",Charges!N243="XL"),0,1)+IF(OR(Charges!O243="",AND(ISNUMBER(Charges!O243),Charges!O243&gt;=0),Charges!O243="S",Charges!O243="M",Charges!O243="L",Charges!O243="XL"),0,1)+IF(OR(Charges!P243="",AND(ISNUMBER(Charges!P243),Charges!P243&gt;=0),Charges!P243="S",Charges!P243="M",Charges!P243="L",Charges!P243="XL"),0,1)+IF(OR(Charges!Q243="",AND(ISNUMBER(Charges!Q243),Charges!Q243&gt;=0),Charges!Q243="S",Charges!Q243="M",Charges!Q243="L",Charges!Q243="XL"),0,1)+IF(OR(Charges!R243="",AND(ISNUMBER(Charges!R243),Charges!R243&gt;=0),Charges!R243="S",Charges!R243="M",Charges!R243="L",Charges!R243="XL"),0,1)</f>
        <v>0</v>
      </c>
      <c r="U243" t="n">
        <f>IF(AND(1&gt;Paramètres!$B$9,Charges!F243&lt;&gt;"",Charges!F243&lt;&gt;0),1,0)+IF(AND(2&gt;Paramètres!$B$9,Charges!G243&lt;&gt;"",Charges!G243&lt;&gt;0),1,0)+IF(AND(3&gt;Paramètres!$B$9,Charges!H243&lt;&gt;"",Charges!H243&lt;&gt;0),1,0)+IF(AND(4&gt;Paramètres!$B$9,Charges!I243&lt;&gt;"",Charges!I243&lt;&gt;0),1,0)+IF(AND(5&gt;Paramètres!$B$9,Charges!J243&lt;&gt;"",Charges!J243&lt;&gt;0),1,0)+IF(AND(6&gt;Paramètres!$B$9,Charges!K243&lt;&gt;"",Charges!K243&lt;&gt;0),1,0)+IF(AND(7&gt;Paramètres!$B$9,Charges!L243&lt;&gt;"",Charges!L243&lt;&gt;0),1,0)+IF(AND(8&gt;Paramètres!$B$9,Charges!M243&lt;&gt;"",Charges!M243&lt;&gt;0),1,0)+IF(AND(9&gt;Paramètres!$B$9,Charges!N243&lt;&gt;"",Charges!N243&lt;&gt;0),1,0)+IF(AND(10&gt;Paramètres!$B$9,Charges!O243&lt;&gt;"",Charges!O243&lt;&gt;0),1,0)+IF(AND(11&gt;Paramètres!$B$9,Charges!P243&lt;&gt;"",Charges!P243&lt;&gt;0),1,0)+IF(AND(12&gt;Paramètres!$B$9,Charges!Q243&lt;&gt;"",Charges!Q243&lt;&gt;0),1,0)+IF(AND(13&gt;Paramètres!$B$9,Charges!R243&lt;&gt;"",Charges!R243&lt;&gt;0),1,0)</f>
        <v>0</v>
      </c>
      <c r="V243" t="n">
        <f>IF(IFERROR(VLOOKUP(A243,'Projets'!$A$8:$Z$67,5,FALSE),"")="Engager",1,0)</f>
        <v>0</v>
      </c>
      <c r="W243" t="n">
        <f>IF(IFERROR(VLOOKUP(A243,'Projets'!$A$8:$Z$67,6,FALSE),"")="Engager",1,0)</f>
        <v>0</v>
      </c>
      <c r="X243" t="n">
        <f>E243*S243</f>
        <v>0</v>
      </c>
      <c r="Y243" t="n">
        <f>F243*S243</f>
        <v>0</v>
      </c>
      <c r="Z243" t="n">
        <f>G243*S243</f>
        <v>0</v>
      </c>
      <c r="AA243" t="n">
        <f>H243*S243</f>
        <v>0</v>
      </c>
      <c r="AB243" t="n">
        <f>I243*S243</f>
        <v>0</v>
      </c>
      <c r="AC243" t="n">
        <f>J243*S243</f>
        <v>0</v>
      </c>
      <c r="AD243" t="n">
        <f>K243*S243</f>
        <v>0</v>
      </c>
      <c r="AE243" t="n">
        <f>L243*S243</f>
        <v>0</v>
      </c>
      <c r="AF243" t="n">
        <f>M243*S243</f>
        <v>0</v>
      </c>
      <c r="AG243" t="n">
        <f>N243*S243</f>
        <v>0</v>
      </c>
      <c r="AH243" t="n">
        <f>O243*S243</f>
        <v>0</v>
      </c>
      <c r="AI243" t="n">
        <f>P243*S243</f>
        <v>0</v>
      </c>
      <c r="AJ243" t="n">
        <f>Q243*S243</f>
        <v>0</v>
      </c>
      <c r="AK243" t="n">
        <f>E243*V243</f>
        <v>0</v>
      </c>
      <c r="AL243" t="n">
        <f>F243*V243</f>
        <v>0</v>
      </c>
      <c r="AM243" t="n">
        <f>G243*V243</f>
        <v>0</v>
      </c>
      <c r="AN243" t="n">
        <f>H243*V243</f>
        <v>0</v>
      </c>
      <c r="AO243" t="n">
        <f>I243*V243</f>
        <v>0</v>
      </c>
      <c r="AP243" t="n">
        <f>J243*V243</f>
        <v>0</v>
      </c>
      <c r="AQ243" t="n">
        <f>K243*V243</f>
        <v>0</v>
      </c>
      <c r="AR243" t="n">
        <f>L243*V243</f>
        <v>0</v>
      </c>
      <c r="AS243" t="n">
        <f>M243*V243</f>
        <v>0</v>
      </c>
      <c r="AT243" t="n">
        <f>N243*V243</f>
        <v>0</v>
      </c>
      <c r="AU243" t="n">
        <f>O243*V243</f>
        <v>0</v>
      </c>
      <c r="AV243" t="n">
        <f>P243*V243</f>
        <v>0</v>
      </c>
      <c r="AW243" t="n">
        <f>Q243*V243</f>
        <v>0</v>
      </c>
      <c r="AX243" t="n">
        <f>E243*W243</f>
        <v>0</v>
      </c>
      <c r="AY243" t="n">
        <f>F243*W243</f>
        <v>0</v>
      </c>
      <c r="AZ243" t="n">
        <f>G243*W243</f>
        <v>0</v>
      </c>
      <c r="BA243" t="n">
        <f>H243*W243</f>
        <v>0</v>
      </c>
      <c r="BB243" t="n">
        <f>I243*W243</f>
        <v>0</v>
      </c>
      <c r="BC243" t="n">
        <f>J243*W243</f>
        <v>0</v>
      </c>
      <c r="BD243" t="n">
        <f>K243*W243</f>
        <v>0</v>
      </c>
      <c r="BE243" t="n">
        <f>L243*W243</f>
        <v>0</v>
      </c>
      <c r="BF243" t="n">
        <f>M243*W243</f>
        <v>0</v>
      </c>
      <c r="BG243" t="n">
        <f>N243*W243</f>
        <v>0</v>
      </c>
      <c r="BH243" t="n">
        <f>O243*W243</f>
        <v>0</v>
      </c>
      <c r="BI243" t="n">
        <f>P243*W243</f>
        <v>0</v>
      </c>
      <c r="BJ243" t="n">
        <f>Q243*W243</f>
        <v>0</v>
      </c>
    </row>
    <row r="244">
      <c r="A244" t="n">
        <f>Charges!A244</f>
        <v>0</v>
      </c>
      <c r="B244" t="n">
        <f>Charges!C244</f>
        <v>0</v>
      </c>
      <c r="C244" t="str">
        <f>Charges!D244</f>
        <v/>
      </c>
      <c r="E244" t="n">
        <f>IF(1&lt;=Paramètres!$B$9,MAX(0,IFERROR(N(IF(ISNUMBER(Charges!F244),MAX(0,Charges!F244),IFERROR(VLOOKUP(Charges!F244,Paramètres!$A$15:$B$18,2,FALSE),0))),0)),0)</f>
        <v>0</v>
      </c>
      <c r="F244" t="n">
        <f>IF(2&lt;=Paramètres!$B$9,MAX(0,IFERROR(N(IF(ISNUMBER(Charges!G244),MAX(0,Charges!G244),IFERROR(VLOOKUP(Charges!G244,Paramètres!$A$15:$B$18,2,FALSE),0))),0)),0)</f>
        <v>0</v>
      </c>
      <c r="G244" t="n">
        <f>IF(3&lt;=Paramètres!$B$9,MAX(0,IFERROR(N(IF(ISNUMBER(Charges!H244),MAX(0,Charges!H244),IFERROR(VLOOKUP(Charges!H244,Paramètres!$A$15:$B$18,2,FALSE),0))),0)),0)</f>
        <v>0</v>
      </c>
      <c r="H244" t="n">
        <f>IF(4&lt;=Paramètres!$B$9,MAX(0,IFERROR(N(IF(ISNUMBER(Charges!I244),MAX(0,Charges!I244),IFERROR(VLOOKUP(Charges!I244,Paramètres!$A$15:$B$18,2,FALSE),0))),0)),0)</f>
        <v>0</v>
      </c>
      <c r="I244" t="n">
        <f>IF(5&lt;=Paramètres!$B$9,MAX(0,IFERROR(N(IF(ISNUMBER(Charges!J244),MAX(0,Charges!J244),IFERROR(VLOOKUP(Charges!J244,Paramètres!$A$15:$B$18,2,FALSE),0))),0)),0)</f>
        <v>0</v>
      </c>
      <c r="J244" t="n">
        <f>IF(6&lt;=Paramètres!$B$9,MAX(0,IFERROR(N(IF(ISNUMBER(Charges!K244),MAX(0,Charges!K244),IFERROR(VLOOKUP(Charges!K244,Paramètres!$A$15:$B$18,2,FALSE),0))),0)),0)</f>
        <v>0</v>
      </c>
      <c r="K244" t="n">
        <f>IF(7&lt;=Paramètres!$B$9,MAX(0,IFERROR(N(IF(ISNUMBER(Charges!L244),MAX(0,Charges!L244),IFERROR(VLOOKUP(Charges!L244,Paramètres!$A$15:$B$18,2,FALSE),0))),0)),0)</f>
        <v>0</v>
      </c>
      <c r="L244" t="n">
        <f>IF(8&lt;=Paramètres!$B$9,MAX(0,IFERROR(N(IF(ISNUMBER(Charges!M244),MAX(0,Charges!M244),IFERROR(VLOOKUP(Charges!M244,Paramètres!$A$15:$B$18,2,FALSE),0))),0)),0)</f>
        <v>0</v>
      </c>
      <c r="M244" t="n">
        <f>IF(9&lt;=Paramètres!$B$9,MAX(0,IFERROR(N(IF(ISNUMBER(Charges!N244),MAX(0,Charges!N244),IFERROR(VLOOKUP(Charges!N244,Paramètres!$A$15:$B$18,2,FALSE),0))),0)),0)</f>
        <v>0</v>
      </c>
      <c r="N244" t="n">
        <f>IF(10&lt;=Paramètres!$B$9,MAX(0,IFERROR(N(IF(ISNUMBER(Charges!O244),MAX(0,Charges!O244),IFERROR(VLOOKUP(Charges!O244,Paramètres!$A$15:$B$18,2,FALSE),0))),0)),0)</f>
        <v>0</v>
      </c>
      <c r="O244" t="n">
        <f>IF(11&lt;=Paramètres!$B$9,MAX(0,IFERROR(N(IF(ISNUMBER(Charges!P244),MAX(0,Charges!P244),IFERROR(VLOOKUP(Charges!P244,Paramètres!$A$15:$B$18,2,FALSE),0))),0)),0)</f>
        <v>0</v>
      </c>
      <c r="P244" t="n">
        <f>IF(12&lt;=Paramètres!$B$9,MAX(0,IFERROR(N(IF(ISNUMBER(Charges!Q244),MAX(0,Charges!Q244),IFERROR(VLOOKUP(Charges!Q244,Paramètres!$A$15:$B$18,2,FALSE),0))),0)),0)</f>
        <v>0</v>
      </c>
      <c r="Q244" t="n">
        <f>IF(13&lt;=Paramètres!$B$9,MAX(0,IFERROR(N(IF(ISNUMBER(Charges!R244),MAX(0,Charges!R244),IFERROR(VLOOKUP(Charges!R244,Paramètres!$A$15:$B$18,2,FALSE),0))),0)),0)</f>
        <v>0</v>
      </c>
      <c r="R244" t="n">
        <f>SUM(E244:Q244)</f>
        <v>0</v>
      </c>
      <c r="S244" t="n">
        <f>IF(IFERROR(VLOOKUP(A244,'Projets'!$A$8:$Z$67,7,FALSE),"")="Engager",1,0)</f>
        <v>0</v>
      </c>
      <c r="T244" t="n">
        <f>IF(OR(Charges!F244="",AND(ISNUMBER(Charges!F244),Charges!F244&gt;=0),Charges!F244="S",Charges!F244="M",Charges!F244="L",Charges!F244="XL"),0,1)+IF(OR(Charges!G244="",AND(ISNUMBER(Charges!G244),Charges!G244&gt;=0),Charges!G244="S",Charges!G244="M",Charges!G244="L",Charges!G244="XL"),0,1)+IF(OR(Charges!H244="",AND(ISNUMBER(Charges!H244),Charges!H244&gt;=0),Charges!H244="S",Charges!H244="M",Charges!H244="L",Charges!H244="XL"),0,1)+IF(OR(Charges!I244="",AND(ISNUMBER(Charges!I244),Charges!I244&gt;=0),Charges!I244="S",Charges!I244="M",Charges!I244="L",Charges!I244="XL"),0,1)+IF(OR(Charges!J244="",AND(ISNUMBER(Charges!J244),Charges!J244&gt;=0),Charges!J244="S",Charges!J244="M",Charges!J244="L",Charges!J244="XL"),0,1)+IF(OR(Charges!K244="",AND(ISNUMBER(Charges!K244),Charges!K244&gt;=0),Charges!K244="S",Charges!K244="M",Charges!K244="L",Charges!K244="XL"),0,1)+IF(OR(Charges!L244="",AND(ISNUMBER(Charges!L244),Charges!L244&gt;=0),Charges!L244="S",Charges!L244="M",Charges!L244="L",Charges!L244="XL"),0,1)+IF(OR(Charges!M244="",AND(ISNUMBER(Charges!M244),Charges!M244&gt;=0),Charges!M244="S",Charges!M244="M",Charges!M244="L",Charges!M244="XL"),0,1)+IF(OR(Charges!N244="",AND(ISNUMBER(Charges!N244),Charges!N244&gt;=0),Charges!N244="S",Charges!N244="M",Charges!N244="L",Charges!N244="XL"),0,1)+IF(OR(Charges!O244="",AND(ISNUMBER(Charges!O244),Charges!O244&gt;=0),Charges!O244="S",Charges!O244="M",Charges!O244="L",Charges!O244="XL"),0,1)+IF(OR(Charges!P244="",AND(ISNUMBER(Charges!P244),Charges!P244&gt;=0),Charges!P244="S",Charges!P244="M",Charges!P244="L",Charges!P244="XL"),0,1)+IF(OR(Charges!Q244="",AND(ISNUMBER(Charges!Q244),Charges!Q244&gt;=0),Charges!Q244="S",Charges!Q244="M",Charges!Q244="L",Charges!Q244="XL"),0,1)+IF(OR(Charges!R244="",AND(ISNUMBER(Charges!R244),Charges!R244&gt;=0),Charges!R244="S",Charges!R244="M",Charges!R244="L",Charges!R244="XL"),0,1)</f>
        <v>0</v>
      </c>
      <c r="U244" t="n">
        <f>IF(AND(1&gt;Paramètres!$B$9,Charges!F244&lt;&gt;"",Charges!F244&lt;&gt;0),1,0)+IF(AND(2&gt;Paramètres!$B$9,Charges!G244&lt;&gt;"",Charges!G244&lt;&gt;0),1,0)+IF(AND(3&gt;Paramètres!$B$9,Charges!H244&lt;&gt;"",Charges!H244&lt;&gt;0),1,0)+IF(AND(4&gt;Paramètres!$B$9,Charges!I244&lt;&gt;"",Charges!I244&lt;&gt;0),1,0)+IF(AND(5&gt;Paramètres!$B$9,Charges!J244&lt;&gt;"",Charges!J244&lt;&gt;0),1,0)+IF(AND(6&gt;Paramètres!$B$9,Charges!K244&lt;&gt;"",Charges!K244&lt;&gt;0),1,0)+IF(AND(7&gt;Paramètres!$B$9,Charges!L244&lt;&gt;"",Charges!L244&lt;&gt;0),1,0)+IF(AND(8&gt;Paramètres!$B$9,Charges!M244&lt;&gt;"",Charges!M244&lt;&gt;0),1,0)+IF(AND(9&gt;Paramètres!$B$9,Charges!N244&lt;&gt;"",Charges!N244&lt;&gt;0),1,0)+IF(AND(10&gt;Paramètres!$B$9,Charges!O244&lt;&gt;"",Charges!O244&lt;&gt;0),1,0)+IF(AND(11&gt;Paramètres!$B$9,Charges!P244&lt;&gt;"",Charges!P244&lt;&gt;0),1,0)+IF(AND(12&gt;Paramètres!$B$9,Charges!Q244&lt;&gt;"",Charges!Q244&lt;&gt;0),1,0)+IF(AND(13&gt;Paramètres!$B$9,Charges!R244&lt;&gt;"",Charges!R244&lt;&gt;0),1,0)</f>
        <v>0</v>
      </c>
      <c r="V244" t="n">
        <f>IF(IFERROR(VLOOKUP(A244,'Projets'!$A$8:$Z$67,5,FALSE),"")="Engager",1,0)</f>
        <v>0</v>
      </c>
      <c r="W244" t="n">
        <f>IF(IFERROR(VLOOKUP(A244,'Projets'!$A$8:$Z$67,6,FALSE),"")="Engager",1,0)</f>
        <v>0</v>
      </c>
      <c r="X244" t="n">
        <f>E244*S244</f>
        <v>0</v>
      </c>
      <c r="Y244" t="n">
        <f>F244*S244</f>
        <v>0</v>
      </c>
      <c r="Z244" t="n">
        <f>G244*S244</f>
        <v>0</v>
      </c>
      <c r="AA244" t="n">
        <f>H244*S244</f>
        <v>0</v>
      </c>
      <c r="AB244" t="n">
        <f>I244*S244</f>
        <v>0</v>
      </c>
      <c r="AC244" t="n">
        <f>J244*S244</f>
        <v>0</v>
      </c>
      <c r="AD244" t="n">
        <f>K244*S244</f>
        <v>0</v>
      </c>
      <c r="AE244" t="n">
        <f>L244*S244</f>
        <v>0</v>
      </c>
      <c r="AF244" t="n">
        <f>M244*S244</f>
        <v>0</v>
      </c>
      <c r="AG244" t="n">
        <f>N244*S244</f>
        <v>0</v>
      </c>
      <c r="AH244" t="n">
        <f>O244*S244</f>
        <v>0</v>
      </c>
      <c r="AI244" t="n">
        <f>P244*S244</f>
        <v>0</v>
      </c>
      <c r="AJ244" t="n">
        <f>Q244*S244</f>
        <v>0</v>
      </c>
      <c r="AK244" t="n">
        <f>E244*V244</f>
        <v>0</v>
      </c>
      <c r="AL244" t="n">
        <f>F244*V244</f>
        <v>0</v>
      </c>
      <c r="AM244" t="n">
        <f>G244*V244</f>
        <v>0</v>
      </c>
      <c r="AN244" t="n">
        <f>H244*V244</f>
        <v>0</v>
      </c>
      <c r="AO244" t="n">
        <f>I244*V244</f>
        <v>0</v>
      </c>
      <c r="AP244" t="n">
        <f>J244*V244</f>
        <v>0</v>
      </c>
      <c r="AQ244" t="n">
        <f>K244*V244</f>
        <v>0</v>
      </c>
      <c r="AR244" t="n">
        <f>L244*V244</f>
        <v>0</v>
      </c>
      <c r="AS244" t="n">
        <f>M244*V244</f>
        <v>0</v>
      </c>
      <c r="AT244" t="n">
        <f>N244*V244</f>
        <v>0</v>
      </c>
      <c r="AU244" t="n">
        <f>O244*V244</f>
        <v>0</v>
      </c>
      <c r="AV244" t="n">
        <f>P244*V244</f>
        <v>0</v>
      </c>
      <c r="AW244" t="n">
        <f>Q244*V244</f>
        <v>0</v>
      </c>
      <c r="AX244" t="n">
        <f>E244*W244</f>
        <v>0</v>
      </c>
      <c r="AY244" t="n">
        <f>F244*W244</f>
        <v>0</v>
      </c>
      <c r="AZ244" t="n">
        <f>G244*W244</f>
        <v>0</v>
      </c>
      <c r="BA244" t="n">
        <f>H244*W244</f>
        <v>0</v>
      </c>
      <c r="BB244" t="n">
        <f>I244*W244</f>
        <v>0</v>
      </c>
      <c r="BC244" t="n">
        <f>J244*W244</f>
        <v>0</v>
      </c>
      <c r="BD244" t="n">
        <f>K244*W244</f>
        <v>0</v>
      </c>
      <c r="BE244" t="n">
        <f>L244*W244</f>
        <v>0</v>
      </c>
      <c r="BF244" t="n">
        <f>M244*W244</f>
        <v>0</v>
      </c>
      <c r="BG244" t="n">
        <f>N244*W244</f>
        <v>0</v>
      </c>
      <c r="BH244" t="n">
        <f>O244*W244</f>
        <v>0</v>
      </c>
      <c r="BI244" t="n">
        <f>P244*W244</f>
        <v>0</v>
      </c>
      <c r="BJ244" t="n">
        <f>Q244*W244</f>
        <v>0</v>
      </c>
    </row>
    <row r="245">
      <c r="A245" t="n">
        <f>Charges!A245</f>
        <v>0</v>
      </c>
      <c r="B245" t="n">
        <f>Charges!C245</f>
        <v>0</v>
      </c>
      <c r="C245" t="str">
        <f>Charges!D245</f>
        <v/>
      </c>
      <c r="E245" t="n">
        <f>IF(1&lt;=Paramètres!$B$9,MAX(0,IFERROR(N(IF(ISNUMBER(Charges!F245),MAX(0,Charges!F245),IFERROR(VLOOKUP(Charges!F245,Paramètres!$A$15:$B$18,2,FALSE),0))),0)),0)</f>
        <v>0</v>
      </c>
      <c r="F245" t="n">
        <f>IF(2&lt;=Paramètres!$B$9,MAX(0,IFERROR(N(IF(ISNUMBER(Charges!G245),MAX(0,Charges!G245),IFERROR(VLOOKUP(Charges!G245,Paramètres!$A$15:$B$18,2,FALSE),0))),0)),0)</f>
        <v>0</v>
      </c>
      <c r="G245" t="n">
        <f>IF(3&lt;=Paramètres!$B$9,MAX(0,IFERROR(N(IF(ISNUMBER(Charges!H245),MAX(0,Charges!H245),IFERROR(VLOOKUP(Charges!H245,Paramètres!$A$15:$B$18,2,FALSE),0))),0)),0)</f>
        <v>0</v>
      </c>
      <c r="H245" t="n">
        <f>IF(4&lt;=Paramètres!$B$9,MAX(0,IFERROR(N(IF(ISNUMBER(Charges!I245),MAX(0,Charges!I245),IFERROR(VLOOKUP(Charges!I245,Paramètres!$A$15:$B$18,2,FALSE),0))),0)),0)</f>
        <v>0</v>
      </c>
      <c r="I245" t="n">
        <f>IF(5&lt;=Paramètres!$B$9,MAX(0,IFERROR(N(IF(ISNUMBER(Charges!J245),MAX(0,Charges!J245),IFERROR(VLOOKUP(Charges!J245,Paramètres!$A$15:$B$18,2,FALSE),0))),0)),0)</f>
        <v>0</v>
      </c>
      <c r="J245" t="n">
        <f>IF(6&lt;=Paramètres!$B$9,MAX(0,IFERROR(N(IF(ISNUMBER(Charges!K245),MAX(0,Charges!K245),IFERROR(VLOOKUP(Charges!K245,Paramètres!$A$15:$B$18,2,FALSE),0))),0)),0)</f>
        <v>0</v>
      </c>
      <c r="K245" t="n">
        <f>IF(7&lt;=Paramètres!$B$9,MAX(0,IFERROR(N(IF(ISNUMBER(Charges!L245),MAX(0,Charges!L245),IFERROR(VLOOKUP(Charges!L245,Paramètres!$A$15:$B$18,2,FALSE),0))),0)),0)</f>
        <v>0</v>
      </c>
      <c r="L245" t="n">
        <f>IF(8&lt;=Paramètres!$B$9,MAX(0,IFERROR(N(IF(ISNUMBER(Charges!M245),MAX(0,Charges!M245),IFERROR(VLOOKUP(Charges!M245,Paramètres!$A$15:$B$18,2,FALSE),0))),0)),0)</f>
        <v>0</v>
      </c>
      <c r="M245" t="n">
        <f>IF(9&lt;=Paramètres!$B$9,MAX(0,IFERROR(N(IF(ISNUMBER(Charges!N245),MAX(0,Charges!N245),IFERROR(VLOOKUP(Charges!N245,Paramètres!$A$15:$B$18,2,FALSE),0))),0)),0)</f>
        <v>0</v>
      </c>
      <c r="N245" t="n">
        <f>IF(10&lt;=Paramètres!$B$9,MAX(0,IFERROR(N(IF(ISNUMBER(Charges!O245),MAX(0,Charges!O245),IFERROR(VLOOKUP(Charges!O245,Paramètres!$A$15:$B$18,2,FALSE),0))),0)),0)</f>
        <v>0</v>
      </c>
      <c r="O245" t="n">
        <f>IF(11&lt;=Paramètres!$B$9,MAX(0,IFERROR(N(IF(ISNUMBER(Charges!P245),MAX(0,Charges!P245),IFERROR(VLOOKUP(Charges!P245,Paramètres!$A$15:$B$18,2,FALSE),0))),0)),0)</f>
        <v>0</v>
      </c>
      <c r="P245" t="n">
        <f>IF(12&lt;=Paramètres!$B$9,MAX(0,IFERROR(N(IF(ISNUMBER(Charges!Q245),MAX(0,Charges!Q245),IFERROR(VLOOKUP(Charges!Q245,Paramètres!$A$15:$B$18,2,FALSE),0))),0)),0)</f>
        <v>0</v>
      </c>
      <c r="Q245" t="n">
        <f>IF(13&lt;=Paramètres!$B$9,MAX(0,IFERROR(N(IF(ISNUMBER(Charges!R245),MAX(0,Charges!R245),IFERROR(VLOOKUP(Charges!R245,Paramètres!$A$15:$B$18,2,FALSE),0))),0)),0)</f>
        <v>0</v>
      </c>
      <c r="R245" t="n">
        <f>SUM(E245:Q245)</f>
        <v>0</v>
      </c>
      <c r="S245" t="n">
        <f>IF(IFERROR(VLOOKUP(A245,'Projets'!$A$8:$Z$67,7,FALSE),"")="Engager",1,0)</f>
        <v>0</v>
      </c>
      <c r="T245" t="n">
        <f>IF(OR(Charges!F245="",AND(ISNUMBER(Charges!F245),Charges!F245&gt;=0),Charges!F245="S",Charges!F245="M",Charges!F245="L",Charges!F245="XL"),0,1)+IF(OR(Charges!G245="",AND(ISNUMBER(Charges!G245),Charges!G245&gt;=0),Charges!G245="S",Charges!G245="M",Charges!G245="L",Charges!G245="XL"),0,1)+IF(OR(Charges!H245="",AND(ISNUMBER(Charges!H245),Charges!H245&gt;=0),Charges!H245="S",Charges!H245="M",Charges!H245="L",Charges!H245="XL"),0,1)+IF(OR(Charges!I245="",AND(ISNUMBER(Charges!I245),Charges!I245&gt;=0),Charges!I245="S",Charges!I245="M",Charges!I245="L",Charges!I245="XL"),0,1)+IF(OR(Charges!J245="",AND(ISNUMBER(Charges!J245),Charges!J245&gt;=0),Charges!J245="S",Charges!J245="M",Charges!J245="L",Charges!J245="XL"),0,1)+IF(OR(Charges!K245="",AND(ISNUMBER(Charges!K245),Charges!K245&gt;=0),Charges!K245="S",Charges!K245="M",Charges!K245="L",Charges!K245="XL"),0,1)+IF(OR(Charges!L245="",AND(ISNUMBER(Charges!L245),Charges!L245&gt;=0),Charges!L245="S",Charges!L245="M",Charges!L245="L",Charges!L245="XL"),0,1)+IF(OR(Charges!M245="",AND(ISNUMBER(Charges!M245),Charges!M245&gt;=0),Charges!M245="S",Charges!M245="M",Charges!M245="L",Charges!M245="XL"),0,1)+IF(OR(Charges!N245="",AND(ISNUMBER(Charges!N245),Charges!N245&gt;=0),Charges!N245="S",Charges!N245="M",Charges!N245="L",Charges!N245="XL"),0,1)+IF(OR(Charges!O245="",AND(ISNUMBER(Charges!O245),Charges!O245&gt;=0),Charges!O245="S",Charges!O245="M",Charges!O245="L",Charges!O245="XL"),0,1)+IF(OR(Charges!P245="",AND(ISNUMBER(Charges!P245),Charges!P245&gt;=0),Charges!P245="S",Charges!P245="M",Charges!P245="L",Charges!P245="XL"),0,1)+IF(OR(Charges!Q245="",AND(ISNUMBER(Charges!Q245),Charges!Q245&gt;=0),Charges!Q245="S",Charges!Q245="M",Charges!Q245="L",Charges!Q245="XL"),0,1)+IF(OR(Charges!R245="",AND(ISNUMBER(Charges!R245),Charges!R245&gt;=0),Charges!R245="S",Charges!R245="M",Charges!R245="L",Charges!R245="XL"),0,1)</f>
        <v>0</v>
      </c>
      <c r="U245" t="n">
        <f>IF(AND(1&gt;Paramètres!$B$9,Charges!F245&lt;&gt;"",Charges!F245&lt;&gt;0),1,0)+IF(AND(2&gt;Paramètres!$B$9,Charges!G245&lt;&gt;"",Charges!G245&lt;&gt;0),1,0)+IF(AND(3&gt;Paramètres!$B$9,Charges!H245&lt;&gt;"",Charges!H245&lt;&gt;0),1,0)+IF(AND(4&gt;Paramètres!$B$9,Charges!I245&lt;&gt;"",Charges!I245&lt;&gt;0),1,0)+IF(AND(5&gt;Paramètres!$B$9,Charges!J245&lt;&gt;"",Charges!J245&lt;&gt;0),1,0)+IF(AND(6&gt;Paramètres!$B$9,Charges!K245&lt;&gt;"",Charges!K245&lt;&gt;0),1,0)+IF(AND(7&gt;Paramètres!$B$9,Charges!L245&lt;&gt;"",Charges!L245&lt;&gt;0),1,0)+IF(AND(8&gt;Paramètres!$B$9,Charges!M245&lt;&gt;"",Charges!M245&lt;&gt;0),1,0)+IF(AND(9&gt;Paramètres!$B$9,Charges!N245&lt;&gt;"",Charges!N245&lt;&gt;0),1,0)+IF(AND(10&gt;Paramètres!$B$9,Charges!O245&lt;&gt;"",Charges!O245&lt;&gt;0),1,0)+IF(AND(11&gt;Paramètres!$B$9,Charges!P245&lt;&gt;"",Charges!P245&lt;&gt;0),1,0)+IF(AND(12&gt;Paramètres!$B$9,Charges!Q245&lt;&gt;"",Charges!Q245&lt;&gt;0),1,0)+IF(AND(13&gt;Paramètres!$B$9,Charges!R245&lt;&gt;"",Charges!R245&lt;&gt;0),1,0)</f>
        <v>0</v>
      </c>
      <c r="V245" t="n">
        <f>IF(IFERROR(VLOOKUP(A245,'Projets'!$A$8:$Z$67,5,FALSE),"")="Engager",1,0)</f>
        <v>0</v>
      </c>
      <c r="W245" t="n">
        <f>IF(IFERROR(VLOOKUP(A245,'Projets'!$A$8:$Z$67,6,FALSE),"")="Engager",1,0)</f>
        <v>0</v>
      </c>
      <c r="X245" t="n">
        <f>E245*S245</f>
        <v>0</v>
      </c>
      <c r="Y245" t="n">
        <f>F245*S245</f>
        <v>0</v>
      </c>
      <c r="Z245" t="n">
        <f>G245*S245</f>
        <v>0</v>
      </c>
      <c r="AA245" t="n">
        <f>H245*S245</f>
        <v>0</v>
      </c>
      <c r="AB245" t="n">
        <f>I245*S245</f>
        <v>0</v>
      </c>
      <c r="AC245" t="n">
        <f>J245*S245</f>
        <v>0</v>
      </c>
      <c r="AD245" t="n">
        <f>K245*S245</f>
        <v>0</v>
      </c>
      <c r="AE245" t="n">
        <f>L245*S245</f>
        <v>0</v>
      </c>
      <c r="AF245" t="n">
        <f>M245*S245</f>
        <v>0</v>
      </c>
      <c r="AG245" t="n">
        <f>N245*S245</f>
        <v>0</v>
      </c>
      <c r="AH245" t="n">
        <f>O245*S245</f>
        <v>0</v>
      </c>
      <c r="AI245" t="n">
        <f>P245*S245</f>
        <v>0</v>
      </c>
      <c r="AJ245" t="n">
        <f>Q245*S245</f>
        <v>0</v>
      </c>
      <c r="AK245" t="n">
        <f>E245*V245</f>
        <v>0</v>
      </c>
      <c r="AL245" t="n">
        <f>F245*V245</f>
        <v>0</v>
      </c>
      <c r="AM245" t="n">
        <f>G245*V245</f>
        <v>0</v>
      </c>
      <c r="AN245" t="n">
        <f>H245*V245</f>
        <v>0</v>
      </c>
      <c r="AO245" t="n">
        <f>I245*V245</f>
        <v>0</v>
      </c>
      <c r="AP245" t="n">
        <f>J245*V245</f>
        <v>0</v>
      </c>
      <c r="AQ245" t="n">
        <f>K245*V245</f>
        <v>0</v>
      </c>
      <c r="AR245" t="n">
        <f>L245*V245</f>
        <v>0</v>
      </c>
      <c r="AS245" t="n">
        <f>M245*V245</f>
        <v>0</v>
      </c>
      <c r="AT245" t="n">
        <f>N245*V245</f>
        <v>0</v>
      </c>
      <c r="AU245" t="n">
        <f>O245*V245</f>
        <v>0</v>
      </c>
      <c r="AV245" t="n">
        <f>P245*V245</f>
        <v>0</v>
      </c>
      <c r="AW245" t="n">
        <f>Q245*V245</f>
        <v>0</v>
      </c>
      <c r="AX245" t="n">
        <f>E245*W245</f>
        <v>0</v>
      </c>
      <c r="AY245" t="n">
        <f>F245*W245</f>
        <v>0</v>
      </c>
      <c r="AZ245" t="n">
        <f>G245*W245</f>
        <v>0</v>
      </c>
      <c r="BA245" t="n">
        <f>H245*W245</f>
        <v>0</v>
      </c>
      <c r="BB245" t="n">
        <f>I245*W245</f>
        <v>0</v>
      </c>
      <c r="BC245" t="n">
        <f>J245*W245</f>
        <v>0</v>
      </c>
      <c r="BD245" t="n">
        <f>K245*W245</f>
        <v>0</v>
      </c>
      <c r="BE245" t="n">
        <f>L245*W245</f>
        <v>0</v>
      </c>
      <c r="BF245" t="n">
        <f>M245*W245</f>
        <v>0</v>
      </c>
      <c r="BG245" t="n">
        <f>N245*W245</f>
        <v>0</v>
      </c>
      <c r="BH245" t="n">
        <f>O245*W245</f>
        <v>0</v>
      </c>
      <c r="BI245" t="n">
        <f>P245*W245</f>
        <v>0</v>
      </c>
      <c r="BJ245" t="n">
        <f>Q245*W245</f>
        <v>0</v>
      </c>
    </row>
    <row r="246">
      <c r="A246" t="n">
        <f>Charges!A246</f>
        <v>0</v>
      </c>
      <c r="B246" t="n">
        <f>Charges!C246</f>
        <v>0</v>
      </c>
      <c r="C246" t="str">
        <f>Charges!D246</f>
        <v/>
      </c>
      <c r="E246" t="n">
        <f>IF(1&lt;=Paramètres!$B$9,MAX(0,IFERROR(N(IF(ISNUMBER(Charges!F246),MAX(0,Charges!F246),IFERROR(VLOOKUP(Charges!F246,Paramètres!$A$15:$B$18,2,FALSE),0))),0)),0)</f>
        <v>0</v>
      </c>
      <c r="F246" t="n">
        <f>IF(2&lt;=Paramètres!$B$9,MAX(0,IFERROR(N(IF(ISNUMBER(Charges!G246),MAX(0,Charges!G246),IFERROR(VLOOKUP(Charges!G246,Paramètres!$A$15:$B$18,2,FALSE),0))),0)),0)</f>
        <v>0</v>
      </c>
      <c r="G246" t="n">
        <f>IF(3&lt;=Paramètres!$B$9,MAX(0,IFERROR(N(IF(ISNUMBER(Charges!H246),MAX(0,Charges!H246),IFERROR(VLOOKUP(Charges!H246,Paramètres!$A$15:$B$18,2,FALSE),0))),0)),0)</f>
        <v>0</v>
      </c>
      <c r="H246" t="n">
        <f>IF(4&lt;=Paramètres!$B$9,MAX(0,IFERROR(N(IF(ISNUMBER(Charges!I246),MAX(0,Charges!I246),IFERROR(VLOOKUP(Charges!I246,Paramètres!$A$15:$B$18,2,FALSE),0))),0)),0)</f>
        <v>0</v>
      </c>
      <c r="I246" t="n">
        <f>IF(5&lt;=Paramètres!$B$9,MAX(0,IFERROR(N(IF(ISNUMBER(Charges!J246),MAX(0,Charges!J246),IFERROR(VLOOKUP(Charges!J246,Paramètres!$A$15:$B$18,2,FALSE),0))),0)),0)</f>
        <v>0</v>
      </c>
      <c r="J246" t="n">
        <f>IF(6&lt;=Paramètres!$B$9,MAX(0,IFERROR(N(IF(ISNUMBER(Charges!K246),MAX(0,Charges!K246),IFERROR(VLOOKUP(Charges!K246,Paramètres!$A$15:$B$18,2,FALSE),0))),0)),0)</f>
        <v>0</v>
      </c>
      <c r="K246" t="n">
        <f>IF(7&lt;=Paramètres!$B$9,MAX(0,IFERROR(N(IF(ISNUMBER(Charges!L246),MAX(0,Charges!L246),IFERROR(VLOOKUP(Charges!L246,Paramètres!$A$15:$B$18,2,FALSE),0))),0)),0)</f>
        <v>0</v>
      </c>
      <c r="L246" t="n">
        <f>IF(8&lt;=Paramètres!$B$9,MAX(0,IFERROR(N(IF(ISNUMBER(Charges!M246),MAX(0,Charges!M246),IFERROR(VLOOKUP(Charges!M246,Paramètres!$A$15:$B$18,2,FALSE),0))),0)),0)</f>
        <v>0</v>
      </c>
      <c r="M246" t="n">
        <f>IF(9&lt;=Paramètres!$B$9,MAX(0,IFERROR(N(IF(ISNUMBER(Charges!N246),MAX(0,Charges!N246),IFERROR(VLOOKUP(Charges!N246,Paramètres!$A$15:$B$18,2,FALSE),0))),0)),0)</f>
        <v>0</v>
      </c>
      <c r="N246" t="n">
        <f>IF(10&lt;=Paramètres!$B$9,MAX(0,IFERROR(N(IF(ISNUMBER(Charges!O246),MAX(0,Charges!O246),IFERROR(VLOOKUP(Charges!O246,Paramètres!$A$15:$B$18,2,FALSE),0))),0)),0)</f>
        <v>0</v>
      </c>
      <c r="O246" t="n">
        <f>IF(11&lt;=Paramètres!$B$9,MAX(0,IFERROR(N(IF(ISNUMBER(Charges!P246),MAX(0,Charges!P246),IFERROR(VLOOKUP(Charges!P246,Paramètres!$A$15:$B$18,2,FALSE),0))),0)),0)</f>
        <v>0</v>
      </c>
      <c r="P246" t="n">
        <f>IF(12&lt;=Paramètres!$B$9,MAX(0,IFERROR(N(IF(ISNUMBER(Charges!Q246),MAX(0,Charges!Q246),IFERROR(VLOOKUP(Charges!Q246,Paramètres!$A$15:$B$18,2,FALSE),0))),0)),0)</f>
        <v>0</v>
      </c>
      <c r="Q246" t="n">
        <f>IF(13&lt;=Paramètres!$B$9,MAX(0,IFERROR(N(IF(ISNUMBER(Charges!R246),MAX(0,Charges!R246),IFERROR(VLOOKUP(Charges!R246,Paramètres!$A$15:$B$18,2,FALSE),0))),0)),0)</f>
        <v>0</v>
      </c>
      <c r="R246" t="n">
        <f>SUM(E246:Q246)</f>
        <v>0</v>
      </c>
      <c r="S246" t="n">
        <f>IF(IFERROR(VLOOKUP(A246,'Projets'!$A$8:$Z$67,7,FALSE),"")="Engager",1,0)</f>
        <v>0</v>
      </c>
      <c r="T246" t="n">
        <f>IF(OR(Charges!F246="",AND(ISNUMBER(Charges!F246),Charges!F246&gt;=0),Charges!F246="S",Charges!F246="M",Charges!F246="L",Charges!F246="XL"),0,1)+IF(OR(Charges!G246="",AND(ISNUMBER(Charges!G246),Charges!G246&gt;=0),Charges!G246="S",Charges!G246="M",Charges!G246="L",Charges!G246="XL"),0,1)+IF(OR(Charges!H246="",AND(ISNUMBER(Charges!H246),Charges!H246&gt;=0),Charges!H246="S",Charges!H246="M",Charges!H246="L",Charges!H246="XL"),0,1)+IF(OR(Charges!I246="",AND(ISNUMBER(Charges!I246),Charges!I246&gt;=0),Charges!I246="S",Charges!I246="M",Charges!I246="L",Charges!I246="XL"),0,1)+IF(OR(Charges!J246="",AND(ISNUMBER(Charges!J246),Charges!J246&gt;=0),Charges!J246="S",Charges!J246="M",Charges!J246="L",Charges!J246="XL"),0,1)+IF(OR(Charges!K246="",AND(ISNUMBER(Charges!K246),Charges!K246&gt;=0),Charges!K246="S",Charges!K246="M",Charges!K246="L",Charges!K246="XL"),0,1)+IF(OR(Charges!L246="",AND(ISNUMBER(Charges!L246),Charges!L246&gt;=0),Charges!L246="S",Charges!L246="M",Charges!L246="L",Charges!L246="XL"),0,1)+IF(OR(Charges!M246="",AND(ISNUMBER(Charges!M246),Charges!M246&gt;=0),Charges!M246="S",Charges!M246="M",Charges!M246="L",Charges!M246="XL"),0,1)+IF(OR(Charges!N246="",AND(ISNUMBER(Charges!N246),Charges!N246&gt;=0),Charges!N246="S",Charges!N246="M",Charges!N246="L",Charges!N246="XL"),0,1)+IF(OR(Charges!O246="",AND(ISNUMBER(Charges!O246),Charges!O246&gt;=0),Charges!O246="S",Charges!O246="M",Charges!O246="L",Charges!O246="XL"),0,1)+IF(OR(Charges!P246="",AND(ISNUMBER(Charges!P246),Charges!P246&gt;=0),Charges!P246="S",Charges!P246="M",Charges!P246="L",Charges!P246="XL"),0,1)+IF(OR(Charges!Q246="",AND(ISNUMBER(Charges!Q246),Charges!Q246&gt;=0),Charges!Q246="S",Charges!Q246="M",Charges!Q246="L",Charges!Q246="XL"),0,1)+IF(OR(Charges!R246="",AND(ISNUMBER(Charges!R246),Charges!R246&gt;=0),Charges!R246="S",Charges!R246="M",Charges!R246="L",Charges!R246="XL"),0,1)</f>
        <v>0</v>
      </c>
      <c r="U246" t="n">
        <f>IF(AND(1&gt;Paramètres!$B$9,Charges!F246&lt;&gt;"",Charges!F246&lt;&gt;0),1,0)+IF(AND(2&gt;Paramètres!$B$9,Charges!G246&lt;&gt;"",Charges!G246&lt;&gt;0),1,0)+IF(AND(3&gt;Paramètres!$B$9,Charges!H246&lt;&gt;"",Charges!H246&lt;&gt;0),1,0)+IF(AND(4&gt;Paramètres!$B$9,Charges!I246&lt;&gt;"",Charges!I246&lt;&gt;0),1,0)+IF(AND(5&gt;Paramètres!$B$9,Charges!J246&lt;&gt;"",Charges!J246&lt;&gt;0),1,0)+IF(AND(6&gt;Paramètres!$B$9,Charges!K246&lt;&gt;"",Charges!K246&lt;&gt;0),1,0)+IF(AND(7&gt;Paramètres!$B$9,Charges!L246&lt;&gt;"",Charges!L246&lt;&gt;0),1,0)+IF(AND(8&gt;Paramètres!$B$9,Charges!M246&lt;&gt;"",Charges!M246&lt;&gt;0),1,0)+IF(AND(9&gt;Paramètres!$B$9,Charges!N246&lt;&gt;"",Charges!N246&lt;&gt;0),1,0)+IF(AND(10&gt;Paramètres!$B$9,Charges!O246&lt;&gt;"",Charges!O246&lt;&gt;0),1,0)+IF(AND(11&gt;Paramètres!$B$9,Charges!P246&lt;&gt;"",Charges!P246&lt;&gt;0),1,0)+IF(AND(12&gt;Paramètres!$B$9,Charges!Q246&lt;&gt;"",Charges!Q246&lt;&gt;0),1,0)+IF(AND(13&gt;Paramètres!$B$9,Charges!R246&lt;&gt;"",Charges!R246&lt;&gt;0),1,0)</f>
        <v>0</v>
      </c>
      <c r="V246" t="n">
        <f>IF(IFERROR(VLOOKUP(A246,'Projets'!$A$8:$Z$67,5,FALSE),"")="Engager",1,0)</f>
        <v>0</v>
      </c>
      <c r="W246" t="n">
        <f>IF(IFERROR(VLOOKUP(A246,'Projets'!$A$8:$Z$67,6,FALSE),"")="Engager",1,0)</f>
        <v>0</v>
      </c>
      <c r="X246" t="n">
        <f>E246*S246</f>
        <v>0</v>
      </c>
      <c r="Y246" t="n">
        <f>F246*S246</f>
        <v>0</v>
      </c>
      <c r="Z246" t="n">
        <f>G246*S246</f>
        <v>0</v>
      </c>
      <c r="AA246" t="n">
        <f>H246*S246</f>
        <v>0</v>
      </c>
      <c r="AB246" t="n">
        <f>I246*S246</f>
        <v>0</v>
      </c>
      <c r="AC246" t="n">
        <f>J246*S246</f>
        <v>0</v>
      </c>
      <c r="AD246" t="n">
        <f>K246*S246</f>
        <v>0</v>
      </c>
      <c r="AE246" t="n">
        <f>L246*S246</f>
        <v>0</v>
      </c>
      <c r="AF246" t="n">
        <f>M246*S246</f>
        <v>0</v>
      </c>
      <c r="AG246" t="n">
        <f>N246*S246</f>
        <v>0</v>
      </c>
      <c r="AH246" t="n">
        <f>O246*S246</f>
        <v>0</v>
      </c>
      <c r="AI246" t="n">
        <f>P246*S246</f>
        <v>0</v>
      </c>
      <c r="AJ246" t="n">
        <f>Q246*S246</f>
        <v>0</v>
      </c>
      <c r="AK246" t="n">
        <f>E246*V246</f>
        <v>0</v>
      </c>
      <c r="AL246" t="n">
        <f>F246*V246</f>
        <v>0</v>
      </c>
      <c r="AM246" t="n">
        <f>G246*V246</f>
        <v>0</v>
      </c>
      <c r="AN246" t="n">
        <f>H246*V246</f>
        <v>0</v>
      </c>
      <c r="AO246" t="n">
        <f>I246*V246</f>
        <v>0</v>
      </c>
      <c r="AP246" t="n">
        <f>J246*V246</f>
        <v>0</v>
      </c>
      <c r="AQ246" t="n">
        <f>K246*V246</f>
        <v>0</v>
      </c>
      <c r="AR246" t="n">
        <f>L246*V246</f>
        <v>0</v>
      </c>
      <c r="AS246" t="n">
        <f>M246*V246</f>
        <v>0</v>
      </c>
      <c r="AT246" t="n">
        <f>N246*V246</f>
        <v>0</v>
      </c>
      <c r="AU246" t="n">
        <f>O246*V246</f>
        <v>0</v>
      </c>
      <c r="AV246" t="n">
        <f>P246*V246</f>
        <v>0</v>
      </c>
      <c r="AW246" t="n">
        <f>Q246*V246</f>
        <v>0</v>
      </c>
      <c r="AX246" t="n">
        <f>E246*W246</f>
        <v>0</v>
      </c>
      <c r="AY246" t="n">
        <f>F246*W246</f>
        <v>0</v>
      </c>
      <c r="AZ246" t="n">
        <f>G246*W246</f>
        <v>0</v>
      </c>
      <c r="BA246" t="n">
        <f>H246*W246</f>
        <v>0</v>
      </c>
      <c r="BB246" t="n">
        <f>I246*W246</f>
        <v>0</v>
      </c>
      <c r="BC246" t="n">
        <f>J246*W246</f>
        <v>0</v>
      </c>
      <c r="BD246" t="n">
        <f>K246*W246</f>
        <v>0</v>
      </c>
      <c r="BE246" t="n">
        <f>L246*W246</f>
        <v>0</v>
      </c>
      <c r="BF246" t="n">
        <f>M246*W246</f>
        <v>0</v>
      </c>
      <c r="BG246" t="n">
        <f>N246*W246</f>
        <v>0</v>
      </c>
      <c r="BH246" t="n">
        <f>O246*W246</f>
        <v>0</v>
      </c>
      <c r="BI246" t="n">
        <f>P246*W246</f>
        <v>0</v>
      </c>
      <c r="BJ246" t="n">
        <f>Q246*W246</f>
        <v>0</v>
      </c>
    </row>
    <row r="247">
      <c r="A247" t="n">
        <f>Charges!A247</f>
        <v>0</v>
      </c>
      <c r="B247" t="n">
        <f>Charges!C247</f>
        <v>0</v>
      </c>
      <c r="C247" t="str">
        <f>Charges!D247</f>
        <v/>
      </c>
      <c r="E247" t="n">
        <f>IF(1&lt;=Paramètres!$B$9,MAX(0,IFERROR(N(IF(ISNUMBER(Charges!F247),MAX(0,Charges!F247),IFERROR(VLOOKUP(Charges!F247,Paramètres!$A$15:$B$18,2,FALSE),0))),0)),0)</f>
        <v>0</v>
      </c>
      <c r="F247" t="n">
        <f>IF(2&lt;=Paramètres!$B$9,MAX(0,IFERROR(N(IF(ISNUMBER(Charges!G247),MAX(0,Charges!G247),IFERROR(VLOOKUP(Charges!G247,Paramètres!$A$15:$B$18,2,FALSE),0))),0)),0)</f>
        <v>0</v>
      </c>
      <c r="G247" t="n">
        <f>IF(3&lt;=Paramètres!$B$9,MAX(0,IFERROR(N(IF(ISNUMBER(Charges!H247),MAX(0,Charges!H247),IFERROR(VLOOKUP(Charges!H247,Paramètres!$A$15:$B$18,2,FALSE),0))),0)),0)</f>
        <v>0</v>
      </c>
      <c r="H247" t="n">
        <f>IF(4&lt;=Paramètres!$B$9,MAX(0,IFERROR(N(IF(ISNUMBER(Charges!I247),MAX(0,Charges!I247),IFERROR(VLOOKUP(Charges!I247,Paramètres!$A$15:$B$18,2,FALSE),0))),0)),0)</f>
        <v>0</v>
      </c>
      <c r="I247" t="n">
        <f>IF(5&lt;=Paramètres!$B$9,MAX(0,IFERROR(N(IF(ISNUMBER(Charges!J247),MAX(0,Charges!J247),IFERROR(VLOOKUP(Charges!J247,Paramètres!$A$15:$B$18,2,FALSE),0))),0)),0)</f>
        <v>0</v>
      </c>
      <c r="J247" t="n">
        <f>IF(6&lt;=Paramètres!$B$9,MAX(0,IFERROR(N(IF(ISNUMBER(Charges!K247),MAX(0,Charges!K247),IFERROR(VLOOKUP(Charges!K247,Paramètres!$A$15:$B$18,2,FALSE),0))),0)),0)</f>
        <v>0</v>
      </c>
      <c r="K247" t="n">
        <f>IF(7&lt;=Paramètres!$B$9,MAX(0,IFERROR(N(IF(ISNUMBER(Charges!L247),MAX(0,Charges!L247),IFERROR(VLOOKUP(Charges!L247,Paramètres!$A$15:$B$18,2,FALSE),0))),0)),0)</f>
        <v>0</v>
      </c>
      <c r="L247" t="n">
        <f>IF(8&lt;=Paramètres!$B$9,MAX(0,IFERROR(N(IF(ISNUMBER(Charges!M247),MAX(0,Charges!M247),IFERROR(VLOOKUP(Charges!M247,Paramètres!$A$15:$B$18,2,FALSE),0))),0)),0)</f>
        <v>0</v>
      </c>
      <c r="M247" t="n">
        <f>IF(9&lt;=Paramètres!$B$9,MAX(0,IFERROR(N(IF(ISNUMBER(Charges!N247),MAX(0,Charges!N247),IFERROR(VLOOKUP(Charges!N247,Paramètres!$A$15:$B$18,2,FALSE),0))),0)),0)</f>
        <v>0</v>
      </c>
      <c r="N247" t="n">
        <f>IF(10&lt;=Paramètres!$B$9,MAX(0,IFERROR(N(IF(ISNUMBER(Charges!O247),MAX(0,Charges!O247),IFERROR(VLOOKUP(Charges!O247,Paramètres!$A$15:$B$18,2,FALSE),0))),0)),0)</f>
        <v>0</v>
      </c>
      <c r="O247" t="n">
        <f>IF(11&lt;=Paramètres!$B$9,MAX(0,IFERROR(N(IF(ISNUMBER(Charges!P247),MAX(0,Charges!P247),IFERROR(VLOOKUP(Charges!P247,Paramètres!$A$15:$B$18,2,FALSE),0))),0)),0)</f>
        <v>0</v>
      </c>
      <c r="P247" t="n">
        <f>IF(12&lt;=Paramètres!$B$9,MAX(0,IFERROR(N(IF(ISNUMBER(Charges!Q247),MAX(0,Charges!Q247),IFERROR(VLOOKUP(Charges!Q247,Paramètres!$A$15:$B$18,2,FALSE),0))),0)),0)</f>
        <v>0</v>
      </c>
      <c r="Q247" t="n">
        <f>IF(13&lt;=Paramètres!$B$9,MAX(0,IFERROR(N(IF(ISNUMBER(Charges!R247),MAX(0,Charges!R247),IFERROR(VLOOKUP(Charges!R247,Paramètres!$A$15:$B$18,2,FALSE),0))),0)),0)</f>
        <v>0</v>
      </c>
      <c r="R247" t="n">
        <f>SUM(E247:Q247)</f>
        <v>0</v>
      </c>
      <c r="S247" t="n">
        <f>IF(IFERROR(VLOOKUP(A247,'Projets'!$A$8:$Z$67,7,FALSE),"")="Engager",1,0)</f>
        <v>0</v>
      </c>
      <c r="T247" t="n">
        <f>IF(OR(Charges!F247="",AND(ISNUMBER(Charges!F247),Charges!F247&gt;=0),Charges!F247="S",Charges!F247="M",Charges!F247="L",Charges!F247="XL"),0,1)+IF(OR(Charges!G247="",AND(ISNUMBER(Charges!G247),Charges!G247&gt;=0),Charges!G247="S",Charges!G247="M",Charges!G247="L",Charges!G247="XL"),0,1)+IF(OR(Charges!H247="",AND(ISNUMBER(Charges!H247),Charges!H247&gt;=0),Charges!H247="S",Charges!H247="M",Charges!H247="L",Charges!H247="XL"),0,1)+IF(OR(Charges!I247="",AND(ISNUMBER(Charges!I247),Charges!I247&gt;=0),Charges!I247="S",Charges!I247="M",Charges!I247="L",Charges!I247="XL"),0,1)+IF(OR(Charges!J247="",AND(ISNUMBER(Charges!J247),Charges!J247&gt;=0),Charges!J247="S",Charges!J247="M",Charges!J247="L",Charges!J247="XL"),0,1)+IF(OR(Charges!K247="",AND(ISNUMBER(Charges!K247),Charges!K247&gt;=0),Charges!K247="S",Charges!K247="M",Charges!K247="L",Charges!K247="XL"),0,1)+IF(OR(Charges!L247="",AND(ISNUMBER(Charges!L247),Charges!L247&gt;=0),Charges!L247="S",Charges!L247="M",Charges!L247="L",Charges!L247="XL"),0,1)+IF(OR(Charges!M247="",AND(ISNUMBER(Charges!M247),Charges!M247&gt;=0),Charges!M247="S",Charges!M247="M",Charges!M247="L",Charges!M247="XL"),0,1)+IF(OR(Charges!N247="",AND(ISNUMBER(Charges!N247),Charges!N247&gt;=0),Charges!N247="S",Charges!N247="M",Charges!N247="L",Charges!N247="XL"),0,1)+IF(OR(Charges!O247="",AND(ISNUMBER(Charges!O247),Charges!O247&gt;=0),Charges!O247="S",Charges!O247="M",Charges!O247="L",Charges!O247="XL"),0,1)+IF(OR(Charges!P247="",AND(ISNUMBER(Charges!P247),Charges!P247&gt;=0),Charges!P247="S",Charges!P247="M",Charges!P247="L",Charges!P247="XL"),0,1)+IF(OR(Charges!Q247="",AND(ISNUMBER(Charges!Q247),Charges!Q247&gt;=0),Charges!Q247="S",Charges!Q247="M",Charges!Q247="L",Charges!Q247="XL"),0,1)+IF(OR(Charges!R247="",AND(ISNUMBER(Charges!R247),Charges!R247&gt;=0),Charges!R247="S",Charges!R247="M",Charges!R247="L",Charges!R247="XL"),0,1)</f>
        <v>0</v>
      </c>
      <c r="U247" t="n">
        <f>IF(AND(1&gt;Paramètres!$B$9,Charges!F247&lt;&gt;"",Charges!F247&lt;&gt;0),1,0)+IF(AND(2&gt;Paramètres!$B$9,Charges!G247&lt;&gt;"",Charges!G247&lt;&gt;0),1,0)+IF(AND(3&gt;Paramètres!$B$9,Charges!H247&lt;&gt;"",Charges!H247&lt;&gt;0),1,0)+IF(AND(4&gt;Paramètres!$B$9,Charges!I247&lt;&gt;"",Charges!I247&lt;&gt;0),1,0)+IF(AND(5&gt;Paramètres!$B$9,Charges!J247&lt;&gt;"",Charges!J247&lt;&gt;0),1,0)+IF(AND(6&gt;Paramètres!$B$9,Charges!K247&lt;&gt;"",Charges!K247&lt;&gt;0),1,0)+IF(AND(7&gt;Paramètres!$B$9,Charges!L247&lt;&gt;"",Charges!L247&lt;&gt;0),1,0)+IF(AND(8&gt;Paramètres!$B$9,Charges!M247&lt;&gt;"",Charges!M247&lt;&gt;0),1,0)+IF(AND(9&gt;Paramètres!$B$9,Charges!N247&lt;&gt;"",Charges!N247&lt;&gt;0),1,0)+IF(AND(10&gt;Paramètres!$B$9,Charges!O247&lt;&gt;"",Charges!O247&lt;&gt;0),1,0)+IF(AND(11&gt;Paramètres!$B$9,Charges!P247&lt;&gt;"",Charges!P247&lt;&gt;0),1,0)+IF(AND(12&gt;Paramètres!$B$9,Charges!Q247&lt;&gt;"",Charges!Q247&lt;&gt;0),1,0)+IF(AND(13&gt;Paramètres!$B$9,Charges!R247&lt;&gt;"",Charges!R247&lt;&gt;0),1,0)</f>
        <v>0</v>
      </c>
      <c r="V247" t="n">
        <f>IF(IFERROR(VLOOKUP(A247,'Projets'!$A$8:$Z$67,5,FALSE),"")="Engager",1,0)</f>
        <v>0</v>
      </c>
      <c r="W247" t="n">
        <f>IF(IFERROR(VLOOKUP(A247,'Projets'!$A$8:$Z$67,6,FALSE),"")="Engager",1,0)</f>
        <v>0</v>
      </c>
      <c r="X247" t="n">
        <f>E247*S247</f>
        <v>0</v>
      </c>
      <c r="Y247" t="n">
        <f>F247*S247</f>
        <v>0</v>
      </c>
      <c r="Z247" t="n">
        <f>G247*S247</f>
        <v>0</v>
      </c>
      <c r="AA247" t="n">
        <f>H247*S247</f>
        <v>0</v>
      </c>
      <c r="AB247" t="n">
        <f>I247*S247</f>
        <v>0</v>
      </c>
      <c r="AC247" t="n">
        <f>J247*S247</f>
        <v>0</v>
      </c>
      <c r="AD247" t="n">
        <f>K247*S247</f>
        <v>0</v>
      </c>
      <c r="AE247" t="n">
        <f>L247*S247</f>
        <v>0</v>
      </c>
      <c r="AF247" t="n">
        <f>M247*S247</f>
        <v>0</v>
      </c>
      <c r="AG247" t="n">
        <f>N247*S247</f>
        <v>0</v>
      </c>
      <c r="AH247" t="n">
        <f>O247*S247</f>
        <v>0</v>
      </c>
      <c r="AI247" t="n">
        <f>P247*S247</f>
        <v>0</v>
      </c>
      <c r="AJ247" t="n">
        <f>Q247*S247</f>
        <v>0</v>
      </c>
      <c r="AK247" t="n">
        <f>E247*V247</f>
        <v>0</v>
      </c>
      <c r="AL247" t="n">
        <f>F247*V247</f>
        <v>0</v>
      </c>
      <c r="AM247" t="n">
        <f>G247*V247</f>
        <v>0</v>
      </c>
      <c r="AN247" t="n">
        <f>H247*V247</f>
        <v>0</v>
      </c>
      <c r="AO247" t="n">
        <f>I247*V247</f>
        <v>0</v>
      </c>
      <c r="AP247" t="n">
        <f>J247*V247</f>
        <v>0</v>
      </c>
      <c r="AQ247" t="n">
        <f>K247*V247</f>
        <v>0</v>
      </c>
      <c r="AR247" t="n">
        <f>L247*V247</f>
        <v>0</v>
      </c>
      <c r="AS247" t="n">
        <f>M247*V247</f>
        <v>0</v>
      </c>
      <c r="AT247" t="n">
        <f>N247*V247</f>
        <v>0</v>
      </c>
      <c r="AU247" t="n">
        <f>O247*V247</f>
        <v>0</v>
      </c>
      <c r="AV247" t="n">
        <f>P247*V247</f>
        <v>0</v>
      </c>
      <c r="AW247" t="n">
        <f>Q247*V247</f>
        <v>0</v>
      </c>
      <c r="AX247" t="n">
        <f>E247*W247</f>
        <v>0</v>
      </c>
      <c r="AY247" t="n">
        <f>F247*W247</f>
        <v>0</v>
      </c>
      <c r="AZ247" t="n">
        <f>G247*W247</f>
        <v>0</v>
      </c>
      <c r="BA247" t="n">
        <f>H247*W247</f>
        <v>0</v>
      </c>
      <c r="BB247" t="n">
        <f>I247*W247</f>
        <v>0</v>
      </c>
      <c r="BC247" t="n">
        <f>J247*W247</f>
        <v>0</v>
      </c>
      <c r="BD247" t="n">
        <f>K247*W247</f>
        <v>0</v>
      </c>
      <c r="BE247" t="n">
        <f>L247*W247</f>
        <v>0</v>
      </c>
      <c r="BF247" t="n">
        <f>M247*W247</f>
        <v>0</v>
      </c>
      <c r="BG247" t="n">
        <f>N247*W247</f>
        <v>0</v>
      </c>
      <c r="BH247" t="n">
        <f>O247*W247</f>
        <v>0</v>
      </c>
      <c r="BI247" t="n">
        <f>P247*W247</f>
        <v>0</v>
      </c>
      <c r="BJ247" t="n">
        <f>Q247*W247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AirSaas</dc:creator>
  <dc:title xmlns:dc="http://purl.org/dc/elements/1.1/">Plan de charge et arbitrages — version vierge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2026-10-06T14:31:58Z</dcterms:modified>
</cp:coreProperties>
</file>